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firstSheet="5"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K4" i="47" s="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E11" i="123" s="1"/>
  <c r="C11" i="123"/>
  <c r="C12" i="123"/>
  <c r="E12" i="123"/>
  <c r="C13" i="123"/>
  <c r="C14" i="123"/>
  <c r="E14" i="123"/>
  <c r="C15" i="123"/>
  <c r="C16" i="123"/>
  <c r="E16" i="123"/>
  <c r="C17" i="123"/>
  <c r="C18" i="123"/>
  <c r="E18" i="123"/>
  <c r="C19" i="123"/>
  <c r="C20" i="123"/>
  <c r="E20" i="123"/>
  <c r="C21" i="123"/>
  <c r="C22" i="123"/>
  <c r="E22" i="123"/>
  <c r="C23" i="123"/>
  <c r="C24" i="123"/>
  <c r="E24" i="123"/>
  <c r="C25" i="123"/>
  <c r="C26" i="123"/>
  <c r="E26" i="123"/>
  <c r="C27" i="123"/>
  <c r="C28" i="123"/>
  <c r="E28" i="123"/>
  <c r="C29" i="123"/>
  <c r="C30" i="123"/>
  <c r="E30" i="123"/>
  <c r="C31" i="123"/>
  <c r="C32" i="123"/>
  <c r="E32" i="123"/>
  <c r="C33" i="123"/>
  <c r="C34" i="123"/>
  <c r="E34" i="123"/>
  <c r="C35" i="123"/>
  <c r="C36" i="123"/>
  <c r="E36" i="123"/>
  <c r="C37" i="123"/>
  <c r="C38" i="123"/>
  <c r="E38" i="123"/>
  <c r="C39" i="123"/>
  <c r="C40" i="123"/>
  <c r="E40" i="123"/>
  <c r="C41" i="123"/>
  <c r="C42" i="123"/>
  <c r="E42" i="123"/>
  <c r="C34" i="110"/>
  <c r="C6" i="109"/>
  <c r="C10" i="109"/>
  <c r="C14" i="109"/>
  <c r="C18" i="109"/>
  <c r="F18" i="109" s="1"/>
  <c r="C22" i="109"/>
  <c r="C26" i="109"/>
  <c r="C30" i="109"/>
  <c r="C34" i="109"/>
  <c r="C38" i="109"/>
  <c r="C42" i="109"/>
  <c r="F42" i="109" s="1"/>
  <c r="C46" i="109"/>
  <c r="C50" i="109"/>
  <c r="F50" i="109" s="1"/>
  <c r="C54" i="109"/>
  <c r="F58" i="109" s="1"/>
  <c r="C58" i="109"/>
  <c r="C62" i="109"/>
  <c r="F66" i="109" s="1"/>
  <c r="C66" i="109"/>
  <c r="C6" i="120"/>
  <c r="C10" i="120"/>
  <c r="C14" i="120"/>
  <c r="C18" i="120"/>
  <c r="F18" i="120"/>
  <c r="C22" i="120"/>
  <c r="C26" i="120"/>
  <c r="C30" i="120"/>
  <c r="C34" i="120"/>
  <c r="C38" i="120"/>
  <c r="C42" i="120"/>
  <c r="F42" i="120" s="1"/>
  <c r="C46" i="120"/>
  <c r="C50" i="120"/>
  <c r="F50" i="120" s="1"/>
  <c r="C54" i="120"/>
  <c r="F58" i="120" s="1"/>
  <c r="C58" i="120"/>
  <c r="C62" i="120"/>
  <c r="F66" i="120" s="1"/>
  <c r="C66" i="120"/>
  <c r="AB66" i="120"/>
  <c r="AB67" i="120"/>
  <c r="C70" i="120"/>
  <c r="F74" i="120" s="1"/>
  <c r="C74" i="120"/>
  <c r="C78" i="120"/>
  <c r="F82" i="120" s="1"/>
  <c r="C82" i="120"/>
  <c r="C86" i="120"/>
  <c r="C90" i="120"/>
  <c r="C94" i="120"/>
  <c r="C98" i="120"/>
  <c r="F98" i="120"/>
  <c r="C102" i="120"/>
  <c r="C106" i="120"/>
  <c r="AB106" i="120"/>
  <c r="AB107" i="120"/>
  <c r="C110" i="120"/>
  <c r="C114" i="120"/>
  <c r="F114" i="120" s="1"/>
  <c r="C118" i="120"/>
  <c r="F122" i="120" s="1"/>
  <c r="C122" i="120"/>
  <c r="C126" i="120"/>
  <c r="F130" i="120" s="1"/>
  <c r="C130" i="120"/>
  <c r="N1" i="75"/>
  <c r="O1" i="75"/>
  <c r="F5" i="117"/>
  <c r="G5" i="117" s="1"/>
  <c r="I5" i="117"/>
  <c r="F6" i="117"/>
  <c r="G6" i="117" s="1"/>
  <c r="I6" i="117"/>
  <c r="F7" i="117"/>
  <c r="G7" i="117" s="1"/>
  <c r="I7" i="117"/>
  <c r="F8" i="117"/>
  <c r="G8" i="117" s="1"/>
  <c r="I8" i="117"/>
  <c r="F9" i="117"/>
  <c r="G9" i="117" s="1"/>
  <c r="I9" i="117"/>
  <c r="F10" i="117"/>
  <c r="G10" i="117" s="1"/>
  <c r="I10" i="117"/>
  <c r="F11" i="117"/>
  <c r="G11" i="117" s="1"/>
  <c r="I11" i="117"/>
  <c r="F12" i="117"/>
  <c r="G12" i="117" s="1"/>
  <c r="I12" i="117"/>
  <c r="F13" i="117"/>
  <c r="G13" i="117" s="1"/>
  <c r="I13" i="117"/>
  <c r="F14" i="117"/>
  <c r="G14" i="117" s="1"/>
  <c r="I14" i="117"/>
  <c r="F15" i="117"/>
  <c r="G15" i="117" s="1"/>
  <c r="I15" i="117"/>
  <c r="F16" i="117"/>
  <c r="G16" i="117" s="1"/>
  <c r="I16" i="117"/>
  <c r="F17" i="117"/>
  <c r="G17" i="117" s="1"/>
  <c r="I17" i="117"/>
  <c r="F18" i="117"/>
  <c r="G18" i="117" s="1"/>
  <c r="I18" i="117"/>
  <c r="F19" i="117"/>
  <c r="G19" i="117" s="1"/>
  <c r="I19" i="117"/>
  <c r="F20" i="117"/>
  <c r="H20" i="117" s="1"/>
  <c r="I20" i="117"/>
  <c r="F21" i="117"/>
  <c r="G21" i="117" s="1"/>
  <c r="I21" i="117"/>
  <c r="F22" i="117"/>
  <c r="G22" i="117" s="1"/>
  <c r="H22" i="117"/>
  <c r="I22" i="117"/>
  <c r="F23" i="117"/>
  <c r="G23" i="117" s="1"/>
  <c r="I23" i="117"/>
  <c r="F24" i="117"/>
  <c r="G24" i="117" s="1"/>
  <c r="H24" i="117"/>
  <c r="I24" i="117"/>
  <c r="F25" i="117"/>
  <c r="G25" i="117" s="1"/>
  <c r="I25" i="117"/>
  <c r="F26" i="117"/>
  <c r="G26" i="117" s="1"/>
  <c r="I26" i="117"/>
  <c r="F27" i="117"/>
  <c r="G27" i="117" s="1"/>
  <c r="I27" i="117"/>
  <c r="F28" i="117"/>
  <c r="H28" i="117" s="1"/>
  <c r="I28" i="117"/>
  <c r="F29" i="117"/>
  <c r="G29" i="117" s="1"/>
  <c r="I29" i="117"/>
  <c r="F30" i="117"/>
  <c r="G30" i="117" s="1"/>
  <c r="H30" i="117"/>
  <c r="I30" i="117"/>
  <c r="F31" i="117"/>
  <c r="G31" i="117" s="1"/>
  <c r="I31" i="117"/>
  <c r="F32" i="117"/>
  <c r="G32" i="117" s="1"/>
  <c r="H32" i="117"/>
  <c r="I32" i="117"/>
  <c r="F33" i="117"/>
  <c r="G33" i="117" s="1"/>
  <c r="I33" i="117"/>
  <c r="F34" i="117"/>
  <c r="G34" i="117" s="1"/>
  <c r="I34" i="117"/>
  <c r="F35" i="117"/>
  <c r="G35" i="117" s="1"/>
  <c r="I35" i="117"/>
  <c r="F36" i="117"/>
  <c r="H36" i="117" s="1"/>
  <c r="I36" i="117"/>
  <c r="F37" i="117"/>
  <c r="G37" i="117" s="1"/>
  <c r="I37" i="117"/>
  <c r="F38" i="117"/>
  <c r="G38" i="117" s="1"/>
  <c r="H38" i="117"/>
  <c r="I38" i="117"/>
  <c r="F39" i="117"/>
  <c r="G39" i="117" s="1"/>
  <c r="I39" i="117"/>
  <c r="F40" i="117"/>
  <c r="G40" i="117" s="1"/>
  <c r="H40" i="117"/>
  <c r="I40" i="117"/>
  <c r="F41" i="117"/>
  <c r="G41" i="117" s="1"/>
  <c r="I41" i="117"/>
  <c r="F42" i="117"/>
  <c r="G42" i="117" s="1"/>
  <c r="I42" i="117"/>
  <c r="F43" i="117"/>
  <c r="G43" i="117" s="1"/>
  <c r="I43" i="117"/>
  <c r="F44" i="117"/>
  <c r="H44" i="117" s="1"/>
  <c r="I44" i="117"/>
  <c r="F45" i="117"/>
  <c r="G45" i="117" s="1"/>
  <c r="I45" i="117"/>
  <c r="F46" i="117"/>
  <c r="G46" i="117" s="1"/>
  <c r="H46" i="117"/>
  <c r="I46" i="117"/>
  <c r="F47" i="117"/>
  <c r="G47" i="117" s="1"/>
  <c r="I47" i="117"/>
  <c r="F48" i="117"/>
  <c r="G48" i="117" s="1"/>
  <c r="H48" i="117"/>
  <c r="I48" i="117"/>
  <c r="F49" i="117"/>
  <c r="G49" i="117" s="1"/>
  <c r="I49" i="117"/>
  <c r="F50" i="117"/>
  <c r="G50" i="117" s="1"/>
  <c r="I50" i="117"/>
  <c r="F51" i="117"/>
  <c r="G51" i="117" s="1"/>
  <c r="I51" i="117"/>
  <c r="F52" i="117"/>
  <c r="H52" i="117" s="1"/>
  <c r="I52" i="117"/>
  <c r="F53" i="117"/>
  <c r="G53" i="117" s="1"/>
  <c r="I53" i="117"/>
  <c r="F54" i="117"/>
  <c r="G54" i="117" s="1"/>
  <c r="H54" i="117"/>
  <c r="I54" i="117"/>
  <c r="F55" i="117"/>
  <c r="G55" i="117" s="1"/>
  <c r="I55" i="117"/>
  <c r="F56" i="117"/>
  <c r="G56" i="117" s="1"/>
  <c r="H56" i="117"/>
  <c r="I56" i="117"/>
  <c r="F57" i="117"/>
  <c r="G57" i="117" s="1"/>
  <c r="I57" i="117"/>
  <c r="F58" i="117"/>
  <c r="G58" i="117" s="1"/>
  <c r="I58" i="117"/>
  <c r="F59" i="117"/>
  <c r="G59" i="117" s="1"/>
  <c r="I59" i="117"/>
  <c r="F60" i="117"/>
  <c r="H60" i="117" s="1"/>
  <c r="I60" i="117"/>
  <c r="F61" i="117"/>
  <c r="G61" i="117" s="1"/>
  <c r="I61" i="117"/>
  <c r="F62" i="117"/>
  <c r="G62" i="117" s="1"/>
  <c r="H62" i="117"/>
  <c r="I62" i="117"/>
  <c r="F63" i="117"/>
  <c r="G63" i="117" s="1"/>
  <c r="I63" i="117"/>
  <c r="F64" i="117"/>
  <c r="G64" i="117" s="1"/>
  <c r="H64" i="117"/>
  <c r="I64" i="117"/>
  <c r="F65" i="117"/>
  <c r="G65" i="117" s="1"/>
  <c r="I65" i="117"/>
  <c r="F66" i="117"/>
  <c r="G66" i="117" s="1"/>
  <c r="I66" i="117"/>
  <c r="F67" i="117"/>
  <c r="G67" i="117" s="1"/>
  <c r="I67" i="117"/>
  <c r="F68" i="117"/>
  <c r="H68" i="117" s="1"/>
  <c r="I68" i="117"/>
  <c r="F69" i="117"/>
  <c r="G69" i="117" s="1"/>
  <c r="I69" i="117"/>
  <c r="F70" i="117"/>
  <c r="G70" i="117" s="1"/>
  <c r="H70" i="117"/>
  <c r="I70" i="117"/>
  <c r="F71" i="117"/>
  <c r="G71" i="117" s="1"/>
  <c r="I71" i="117"/>
  <c r="F72" i="117"/>
  <c r="G72" i="117" s="1"/>
  <c r="H72" i="117"/>
  <c r="I72" i="117"/>
  <c r="F73" i="117"/>
  <c r="G73" i="117" s="1"/>
  <c r="I73" i="117"/>
  <c r="F74" i="117"/>
  <c r="G74" i="117" s="1"/>
  <c r="I74" i="117"/>
  <c r="F75" i="117"/>
  <c r="G75" i="117" s="1"/>
  <c r="I75" i="117"/>
  <c r="F76" i="117"/>
  <c r="H76" i="117" s="1"/>
  <c r="I76" i="117"/>
  <c r="F77" i="117"/>
  <c r="G77" i="117" s="1"/>
  <c r="I77" i="117"/>
  <c r="F78" i="117"/>
  <c r="G78" i="117" s="1"/>
  <c r="H78" i="117"/>
  <c r="I78" i="117"/>
  <c r="F79" i="117"/>
  <c r="G79" i="117" s="1"/>
  <c r="I79" i="117"/>
  <c r="F80" i="117"/>
  <c r="G80" i="117" s="1"/>
  <c r="H80" i="117"/>
  <c r="I80" i="117"/>
  <c r="F81" i="117"/>
  <c r="G81" i="117" s="1"/>
  <c r="I81" i="117"/>
  <c r="F82" i="117"/>
  <c r="G82" i="117" s="1"/>
  <c r="I82" i="117"/>
  <c r="F83" i="117"/>
  <c r="G83" i="117" s="1"/>
  <c r="I83" i="117"/>
  <c r="F84" i="117"/>
  <c r="H84" i="117" s="1"/>
  <c r="I84" i="117"/>
  <c r="F85" i="117"/>
  <c r="G85" i="117" s="1"/>
  <c r="I85" i="117"/>
  <c r="F86" i="117"/>
  <c r="G86" i="117" s="1"/>
  <c r="H86" i="117"/>
  <c r="I86" i="117"/>
  <c r="F87" i="117"/>
  <c r="G87" i="117" s="1"/>
  <c r="I87" i="117"/>
  <c r="F88" i="117"/>
  <c r="G88" i="117" s="1"/>
  <c r="H88" i="117"/>
  <c r="I88" i="117"/>
  <c r="F89" i="117"/>
  <c r="G89" i="117" s="1"/>
  <c r="I89" i="117"/>
  <c r="F90" i="117"/>
  <c r="G90" i="117" s="1"/>
  <c r="I90" i="117"/>
  <c r="F91" i="117"/>
  <c r="G91" i="117" s="1"/>
  <c r="I91" i="117"/>
  <c r="F92" i="117"/>
  <c r="H92" i="117" s="1"/>
  <c r="I92" i="117"/>
  <c r="F93" i="117"/>
  <c r="G93" i="117" s="1"/>
  <c r="I93" i="117"/>
  <c r="F94" i="117"/>
  <c r="G94" i="117" s="1"/>
  <c r="H94" i="117"/>
  <c r="I94" i="117"/>
  <c r="F95" i="117"/>
  <c r="G95" i="117" s="1"/>
  <c r="I95" i="117"/>
  <c r="F96" i="117"/>
  <c r="G96" i="117" s="1"/>
  <c r="H96" i="117"/>
  <c r="I96" i="117"/>
  <c r="F97" i="117"/>
  <c r="G97" i="117" s="1"/>
  <c r="I97" i="117"/>
  <c r="F98" i="117"/>
  <c r="G98" i="117" s="1"/>
  <c r="I98" i="117"/>
  <c r="F99" i="117"/>
  <c r="G99" i="117" s="1"/>
  <c r="I99" i="117"/>
  <c r="F100" i="117"/>
  <c r="H100" i="117" s="1"/>
  <c r="I100" i="117"/>
  <c r="F101" i="117"/>
  <c r="G101" i="117" s="1"/>
  <c r="I101" i="117"/>
  <c r="F102" i="117"/>
  <c r="G102" i="117" s="1"/>
  <c r="H102" i="117"/>
  <c r="I102" i="117"/>
  <c r="F103" i="117"/>
  <c r="G103" i="117" s="1"/>
  <c r="I103" i="117"/>
  <c r="F104" i="117"/>
  <c r="G104" i="117" s="1"/>
  <c r="H104" i="117"/>
  <c r="I104" i="117"/>
  <c r="F105" i="117"/>
  <c r="G105" i="117" s="1"/>
  <c r="I105" i="117"/>
  <c r="F106" i="117"/>
  <c r="G106" i="117" s="1"/>
  <c r="I106" i="117"/>
  <c r="F107" i="117"/>
  <c r="G107" i="117" s="1"/>
  <c r="I107" i="117"/>
  <c r="F108" i="117"/>
  <c r="H108" i="117" s="1"/>
  <c r="I108" i="117"/>
  <c r="F109" i="117"/>
  <c r="H109" i="117" s="1"/>
  <c r="I109" i="117"/>
  <c r="F110" i="117"/>
  <c r="H110" i="117" s="1"/>
  <c r="I110" i="117"/>
  <c r="F111" i="117"/>
  <c r="H111" i="117" s="1"/>
  <c r="I111" i="117"/>
  <c r="F112" i="117"/>
  <c r="H112" i="117" s="1"/>
  <c r="I112" i="117"/>
  <c r="F113" i="117"/>
  <c r="H113" i="117" s="1"/>
  <c r="I113" i="117"/>
  <c r="F114" i="117"/>
  <c r="H114" i="117" s="1"/>
  <c r="I114" i="117"/>
  <c r="F115" i="117"/>
  <c r="H115" i="117" s="1"/>
  <c r="I115" i="117"/>
  <c r="F116" i="117"/>
  <c r="H116" i="117" s="1"/>
  <c r="I116" i="117"/>
  <c r="F117" i="117"/>
  <c r="H117" i="117" s="1"/>
  <c r="I117" i="117"/>
  <c r="F118" i="117"/>
  <c r="H118" i="117" s="1"/>
  <c r="I118" i="117"/>
  <c r="F119" i="117"/>
  <c r="H119" i="117" s="1"/>
  <c r="I119" i="117"/>
  <c r="F120" i="117"/>
  <c r="H120" i="117" s="1"/>
  <c r="I120" i="117"/>
  <c r="F121" i="117"/>
  <c r="H121" i="117" s="1"/>
  <c r="I121" i="117"/>
  <c r="F1" i="1"/>
  <c r="C8" i="1"/>
  <c r="D8" i="1"/>
  <c r="C9" i="1"/>
  <c r="D9" i="1"/>
  <c r="C10" i="1"/>
  <c r="D10" i="1"/>
  <c r="C11" i="1"/>
  <c r="D11" i="1"/>
  <c r="C12" i="1"/>
  <c r="D12" i="1"/>
  <c r="C14" i="1"/>
  <c r="C15" i="1"/>
  <c r="C16" i="1"/>
  <c r="C17" i="1"/>
  <c r="F1" i="90"/>
  <c r="C8" i="90"/>
  <c r="D8" i="90"/>
  <c r="C9" i="90"/>
  <c r="D9" i="90"/>
  <c r="E10" i="90" s="1"/>
  <c r="C10" i="90"/>
  <c r="B14" i="90" s="1"/>
  <c r="D107" i="50" s="1"/>
  <c r="D10" i="90"/>
  <c r="C11" i="90"/>
  <c r="B17" i="90" s="1"/>
  <c r="D110" i="50" s="1"/>
  <c r="D11" i="90"/>
  <c r="C12" i="90"/>
  <c r="B15" i="90" s="1"/>
  <c r="D108" i="50" s="1"/>
  <c r="D12" i="90"/>
  <c r="C14" i="90"/>
  <c r="C15" i="90"/>
  <c r="C16" i="90"/>
  <c r="C17" i="90"/>
  <c r="F1" i="89"/>
  <c r="C8" i="89"/>
  <c r="D8" i="89"/>
  <c r="C9" i="89"/>
  <c r="D9" i="89"/>
  <c r="C10" i="89"/>
  <c r="B14" i="89"/>
  <c r="D10" i="89"/>
  <c r="E10" i="89"/>
  <c r="D172" i="15" s="1"/>
  <c r="K172" i="15" s="1"/>
  <c r="C11" i="89"/>
  <c r="B17" i="89"/>
  <c r="D11" i="89"/>
  <c r="C12" i="89"/>
  <c r="B15" i="89" s="1"/>
  <c r="D112" i="50" s="1"/>
  <c r="D12" i="89"/>
  <c r="C14" i="89"/>
  <c r="C15" i="89"/>
  <c r="C16" i="89"/>
  <c r="C17" i="89"/>
  <c r="F1" i="88"/>
  <c r="C8" i="88"/>
  <c r="D8" i="88"/>
  <c r="C9" i="88"/>
  <c r="D9" i="88"/>
  <c r="C10" i="88"/>
  <c r="D10" i="88"/>
  <c r="C11" i="88"/>
  <c r="D11" i="88"/>
  <c r="B17" i="88" s="1"/>
  <c r="C12" i="88"/>
  <c r="D12" i="88"/>
  <c r="C14" i="88"/>
  <c r="B15" i="88"/>
  <c r="C15" i="88"/>
  <c r="C16" i="88"/>
  <c r="C17" i="88"/>
  <c r="F1" i="87"/>
  <c r="C8" i="87"/>
  <c r="D8" i="87"/>
  <c r="C9" i="87"/>
  <c r="E10" i="87" s="1"/>
  <c r="D9" i="87"/>
  <c r="C10" i="87"/>
  <c r="B14" i="87" s="1"/>
  <c r="D10" i="87"/>
  <c r="C11" i="87"/>
  <c r="B17" i="87" s="1"/>
  <c r="D11" i="87"/>
  <c r="C12" i="87"/>
  <c r="D12" i="87"/>
  <c r="C14" i="87"/>
  <c r="C15" i="87"/>
  <c r="C16" i="87"/>
  <c r="C17" i="87"/>
  <c r="F1" i="86"/>
  <c r="C8" i="86"/>
  <c r="D8" i="86"/>
  <c r="C9" i="86"/>
  <c r="D9" i="86"/>
  <c r="C10" i="86"/>
  <c r="D10" i="86"/>
  <c r="B14" i="86"/>
  <c r="D123" i="50" s="1"/>
  <c r="C11" i="86"/>
  <c r="D11" i="86"/>
  <c r="B17" i="86" s="1"/>
  <c r="D126" i="50" s="1"/>
  <c r="C12" i="86"/>
  <c r="D12" i="86"/>
  <c r="B15" i="86"/>
  <c r="D124" i="50" s="1"/>
  <c r="C14" i="86"/>
  <c r="C15" i="86"/>
  <c r="C16" i="86"/>
  <c r="C17" i="86"/>
  <c r="F1" i="85"/>
  <c r="C8" i="85"/>
  <c r="D8" i="85"/>
  <c r="C9" i="85"/>
  <c r="E10" i="85" s="1"/>
  <c r="D196" i="15" s="1"/>
  <c r="K196" i="15" s="1"/>
  <c r="D9" i="85"/>
  <c r="C10" i="85"/>
  <c r="B14" i="85" s="1"/>
  <c r="D10" i="85"/>
  <c r="C11" i="85"/>
  <c r="B17" i="85" s="1"/>
  <c r="D11" i="85"/>
  <c r="C12" i="85"/>
  <c r="D12" i="85"/>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C11" i="7"/>
  <c r="D11" i="7"/>
  <c r="C12" i="7"/>
  <c r="D12" i="7"/>
  <c r="C14" i="7"/>
  <c r="C15" i="7"/>
  <c r="C16" i="7"/>
  <c r="C17" i="7"/>
  <c r="F1" i="8"/>
  <c r="C8" i="8"/>
  <c r="D8" i="8"/>
  <c r="C9" i="8"/>
  <c r="D9" i="8"/>
  <c r="C10" i="8"/>
  <c r="D10" i="8"/>
  <c r="C11" i="8"/>
  <c r="D11" i="8"/>
  <c r="C12" i="8"/>
  <c r="D12" i="8"/>
  <c r="C14" i="8"/>
  <c r="C15" i="8"/>
  <c r="C16" i="8"/>
  <c r="C17" i="8"/>
  <c r="F1" i="9"/>
  <c r="C8" i="9"/>
  <c r="D8" i="9"/>
  <c r="C9" i="9"/>
  <c r="D9" i="9"/>
  <c r="C10" i="9"/>
  <c r="D10" i="9"/>
  <c r="C11" i="9"/>
  <c r="D11" i="9"/>
  <c r="C12" i="9"/>
  <c r="D12" i="9"/>
  <c r="C14" i="9"/>
  <c r="C15" i="9"/>
  <c r="C16" i="9"/>
  <c r="C17" i="9"/>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17" i="108"/>
  <c r="F1" i="107"/>
  <c r="C8" i="107"/>
  <c r="D8" i="107"/>
  <c r="C9" i="107"/>
  <c r="D9" i="107"/>
  <c r="C10" i="107"/>
  <c r="D10" i="107"/>
  <c r="C11" i="107"/>
  <c r="D11" i="107"/>
  <c r="C12" i="107"/>
  <c r="D12" i="107"/>
  <c r="C14" i="107"/>
  <c r="C15" i="107"/>
  <c r="C16" i="107"/>
  <c r="C17" i="107"/>
  <c r="F1" i="106"/>
  <c r="C8" i="106"/>
  <c r="D8" i="106"/>
  <c r="C9" i="106"/>
  <c r="D9" i="106"/>
  <c r="C10" i="106"/>
  <c r="D10" i="106"/>
  <c r="C11" i="106"/>
  <c r="D11" i="106"/>
  <c r="C12" i="106"/>
  <c r="D12" i="106"/>
  <c r="C14" i="106"/>
  <c r="C15" i="106"/>
  <c r="C16" i="106"/>
  <c r="C17" i="106"/>
  <c r="F1" i="105"/>
  <c r="C8" i="105"/>
  <c r="D8" i="105"/>
  <c r="C9" i="105"/>
  <c r="D9" i="105"/>
  <c r="C10" i="105"/>
  <c r="D10" i="105"/>
  <c r="C11" i="105"/>
  <c r="D11" i="105"/>
  <c r="C12" i="105"/>
  <c r="D12" i="105"/>
  <c r="C14" i="105"/>
  <c r="C15" i="105"/>
  <c r="C16" i="105"/>
  <c r="C17" i="105"/>
  <c r="F1" i="104"/>
  <c r="C8" i="104"/>
  <c r="D8" i="104"/>
  <c r="C9" i="104"/>
  <c r="D9" i="104"/>
  <c r="C10" i="104"/>
  <c r="D10" i="104"/>
  <c r="C11" i="104"/>
  <c r="D11" i="104"/>
  <c r="C12" i="104"/>
  <c r="D12" i="104"/>
  <c r="C14" i="104"/>
  <c r="C15" i="104"/>
  <c r="C16" i="104"/>
  <c r="C17" i="104"/>
  <c r="F1" i="103"/>
  <c r="C8" i="103"/>
  <c r="D8" i="103"/>
  <c r="C9" i="103"/>
  <c r="D9" i="103"/>
  <c r="C10" i="103"/>
  <c r="D10" i="103"/>
  <c r="C11" i="103"/>
  <c r="D11" i="103"/>
  <c r="C12" i="103"/>
  <c r="D12" i="103"/>
  <c r="C14" i="103"/>
  <c r="C15" i="103"/>
  <c r="C16" i="103"/>
  <c r="C17" i="103"/>
  <c r="F1" i="102"/>
  <c r="C8" i="102"/>
  <c r="D8" i="102"/>
  <c r="C9" i="102"/>
  <c r="D9" i="102"/>
  <c r="C10" i="102"/>
  <c r="D10" i="102"/>
  <c r="C11" i="102"/>
  <c r="D11" i="102"/>
  <c r="C12" i="102"/>
  <c r="D12" i="102"/>
  <c r="C14" i="102"/>
  <c r="C15" i="102"/>
  <c r="C16" i="102"/>
  <c r="C17" i="102"/>
  <c r="F1" i="101"/>
  <c r="C8" i="101"/>
  <c r="D8" i="101"/>
  <c r="C9" i="101"/>
  <c r="D9" i="101"/>
  <c r="C10" i="101"/>
  <c r="D10" i="101"/>
  <c r="C11" i="101"/>
  <c r="D11" i="101"/>
  <c r="C12" i="101"/>
  <c r="D12" i="101"/>
  <c r="C14" i="101"/>
  <c r="C15" i="101"/>
  <c r="C64" i="50"/>
  <c r="C16" i="101"/>
  <c r="C17" i="101"/>
  <c r="C66" i="50" s="1"/>
  <c r="F1" i="100"/>
  <c r="C8" i="100"/>
  <c r="D8" i="100"/>
  <c r="C9" i="100"/>
  <c r="D9" i="100"/>
  <c r="C10" i="100"/>
  <c r="D10" i="100"/>
  <c r="C11" i="100"/>
  <c r="D11" i="100"/>
  <c r="C12" i="100"/>
  <c r="D12" i="100"/>
  <c r="C14" i="100"/>
  <c r="C15" i="100"/>
  <c r="C16" i="100"/>
  <c r="C17" i="100"/>
  <c r="F1" i="99"/>
  <c r="C8" i="99"/>
  <c r="D8" i="99"/>
  <c r="C9" i="99"/>
  <c r="D9" i="99"/>
  <c r="C10" i="99"/>
  <c r="D10" i="99"/>
  <c r="C11" i="99"/>
  <c r="D11" i="99"/>
  <c r="C12" i="99"/>
  <c r="D12" i="99"/>
  <c r="C14" i="99"/>
  <c r="C15" i="99"/>
  <c r="C16" i="99"/>
  <c r="C17" i="99"/>
  <c r="F1" i="98"/>
  <c r="C8" i="98"/>
  <c r="D8" i="98"/>
  <c r="C9" i="98"/>
  <c r="E10" i="98" s="1"/>
  <c r="D9" i="98"/>
  <c r="C10" i="98"/>
  <c r="D10" i="98"/>
  <c r="C11" i="98"/>
  <c r="D11" i="98"/>
  <c r="C12" i="98"/>
  <c r="B15" i="98" s="1"/>
  <c r="D76" i="50" s="1"/>
  <c r="D12" i="98"/>
  <c r="C14" i="98"/>
  <c r="C15" i="98"/>
  <c r="C76" i="50" s="1"/>
  <c r="C16" i="98"/>
  <c r="C17" i="98"/>
  <c r="C78" i="50" s="1"/>
  <c r="F1" i="97"/>
  <c r="C8" i="97"/>
  <c r="D8" i="97"/>
  <c r="C9" i="97"/>
  <c r="D9" i="97"/>
  <c r="E10" i="97" s="1"/>
  <c r="D124" i="15" s="1"/>
  <c r="K124" i="15" s="1"/>
  <c r="C10" i="97"/>
  <c r="B14" i="97" s="1"/>
  <c r="D79" i="50" s="1"/>
  <c r="D10" i="97"/>
  <c r="C11" i="97"/>
  <c r="B17" i="97" s="1"/>
  <c r="D82" i="50" s="1"/>
  <c r="D11" i="97"/>
  <c r="C12" i="97"/>
  <c r="B15" i="97" s="1"/>
  <c r="D80" i="50" s="1"/>
  <c r="D12" i="97"/>
  <c r="C14" i="97"/>
  <c r="C15" i="97"/>
  <c r="C80" i="50" s="1"/>
  <c r="C16" i="97"/>
  <c r="C17" i="97"/>
  <c r="C82" i="50" s="1"/>
  <c r="F1" i="96"/>
  <c r="C8" i="96"/>
  <c r="D8" i="96"/>
  <c r="C9" i="96"/>
  <c r="D9" i="96"/>
  <c r="C10" i="96"/>
  <c r="D10" i="96"/>
  <c r="C11" i="96"/>
  <c r="D11" i="96"/>
  <c r="C12" i="96"/>
  <c r="D12" i="96"/>
  <c r="C14" i="96"/>
  <c r="C15" i="96"/>
  <c r="C84" i="50" s="1"/>
  <c r="C16" i="96"/>
  <c r="C17" i="96"/>
  <c r="C86" i="50" s="1"/>
  <c r="F1" i="95"/>
  <c r="C8" i="95"/>
  <c r="D8" i="95"/>
  <c r="C9" i="95"/>
  <c r="D9" i="95"/>
  <c r="E10" i="95"/>
  <c r="C10" i="95"/>
  <c r="D10" i="95"/>
  <c r="C11" i="95"/>
  <c r="D11" i="95"/>
  <c r="C12" i="95"/>
  <c r="D12" i="95"/>
  <c r="C14" i="95"/>
  <c r="C15" i="95"/>
  <c r="C88" i="50" s="1"/>
  <c r="C16" i="95"/>
  <c r="C17" i="95"/>
  <c r="C90" i="50" s="1"/>
  <c r="F1" i="94"/>
  <c r="C8" i="94"/>
  <c r="D8" i="94"/>
  <c r="C9" i="94"/>
  <c r="D9" i="94"/>
  <c r="E10" i="94"/>
  <c r="D142" i="15" s="1"/>
  <c r="K142" i="15" s="1"/>
  <c r="C10" i="94"/>
  <c r="D10" i="94"/>
  <c r="B14" i="94" s="1"/>
  <c r="D91" i="50" s="1"/>
  <c r="C11" i="94"/>
  <c r="B17" i="94"/>
  <c r="D94" i="50" s="1"/>
  <c r="D11" i="94"/>
  <c r="C12" i="94"/>
  <c r="D12" i="94"/>
  <c r="C14" i="94"/>
  <c r="C15" i="94"/>
  <c r="C16" i="94"/>
  <c r="C17" i="94"/>
  <c r="F1" i="93"/>
  <c r="C8" i="93"/>
  <c r="D8" i="93"/>
  <c r="C9" i="93"/>
  <c r="D9" i="93"/>
  <c r="E10" i="93" s="1"/>
  <c r="B12" i="93" s="1"/>
  <c r="B150" i="15" s="1"/>
  <c r="C10" i="93"/>
  <c r="B14" i="93" s="1"/>
  <c r="D95" i="50" s="1"/>
  <c r="D10" i="93"/>
  <c r="C11" i="93"/>
  <c r="B17" i="93" s="1"/>
  <c r="D98" i="50" s="1"/>
  <c r="D11" i="93"/>
  <c r="C12" i="93"/>
  <c r="B15" i="93" s="1"/>
  <c r="D96" i="50" s="1"/>
  <c r="D12" i="93"/>
  <c r="C14" i="93"/>
  <c r="C15" i="93"/>
  <c r="C16" i="93"/>
  <c r="C17" i="93"/>
  <c r="F1" i="92"/>
  <c r="C8" i="92"/>
  <c r="D8" i="92"/>
  <c r="C9" i="92"/>
  <c r="E10" i="92"/>
  <c r="D154" i="15" s="1"/>
  <c r="K154" i="15" s="1"/>
  <c r="D9" i="92"/>
  <c r="C10" i="92"/>
  <c r="B14" i="92" s="1"/>
  <c r="D99" i="50" s="1"/>
  <c r="D10" i="92"/>
  <c r="C11" i="92"/>
  <c r="B17" i="92" s="1"/>
  <c r="D102" i="50" s="1"/>
  <c r="D11" i="92"/>
  <c r="C12" i="92"/>
  <c r="D12" i="92"/>
  <c r="C14" i="92"/>
  <c r="C15" i="92"/>
  <c r="C16" i="92"/>
  <c r="C17" i="92"/>
  <c r="F1" i="91"/>
  <c r="C8" i="91"/>
  <c r="D8" i="91"/>
  <c r="C9" i="91"/>
  <c r="D9" i="91"/>
  <c r="E10" i="91" s="1"/>
  <c r="B12" i="91" s="1"/>
  <c r="B162" i="15" s="1"/>
  <c r="C10" i="91"/>
  <c r="B14" i="91" s="1"/>
  <c r="D103" i="50" s="1"/>
  <c r="D10" i="91"/>
  <c r="C11" i="91"/>
  <c r="B17" i="91" s="1"/>
  <c r="D106" i="50" s="1"/>
  <c r="D11" i="91"/>
  <c r="C12" i="91"/>
  <c r="B15" i="91" s="1"/>
  <c r="D104" i="50" s="1"/>
  <c r="D12" i="91"/>
  <c r="C14" i="91"/>
  <c r="C15" i="91"/>
  <c r="C16" i="91"/>
  <c r="C17" i="91"/>
  <c r="A2" i="63"/>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2" i="47"/>
  <c r="BF51" i="47" s="1"/>
  <c r="H53" i="47"/>
  <c r="H54" i="47"/>
  <c r="BF53" i="47" s="1"/>
  <c r="H55" i="47"/>
  <c r="H56" i="47"/>
  <c r="BF55" i="47" s="1"/>
  <c r="H57" i="47"/>
  <c r="H58" i="47"/>
  <c r="BF57" i="47" s="1"/>
  <c r="H59" i="47"/>
  <c r="H60" i="47"/>
  <c r="BF59" i="47" s="1"/>
  <c r="H51" i="47"/>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125" i="47"/>
  <c r="H100" i="47"/>
  <c r="H88" i="47"/>
  <c r="H136" i="47"/>
  <c r="BF77" i="47" s="1"/>
  <c r="H77" i="47"/>
  <c r="H122" i="47"/>
  <c r="BF79" i="47" s="1"/>
  <c r="H128" i="47"/>
  <c r="H83" i="47"/>
  <c r="H97" i="47"/>
  <c r="H107" i="47"/>
  <c r="BF83" i="47" s="1"/>
  <c r="H112" i="47"/>
  <c r="H118" i="47"/>
  <c r="H135" i="47"/>
  <c r="H90" i="47"/>
  <c r="BF87" i="47" s="1"/>
  <c r="H75" i="47"/>
  <c r="BF88" i="47" s="1"/>
  <c r="H124" i="47"/>
  <c r="H101" i="47"/>
  <c r="H129" i="47"/>
  <c r="H127" i="47"/>
  <c r="H134" i="47"/>
  <c r="H95" i="47"/>
  <c r="H116" i="47"/>
  <c r="BF95" i="47" s="1"/>
  <c r="H87" i="47"/>
  <c r="H76" i="47"/>
  <c r="BF97" i="47" s="1"/>
  <c r="H79" i="47"/>
  <c r="H123" i="47"/>
  <c r="H114" i="47"/>
  <c r="H99" i="47"/>
  <c r="BF101" i="47" s="1"/>
  <c r="H120" i="47"/>
  <c r="H81" i="47"/>
  <c r="BF103" i="47" s="1"/>
  <c r="H106" i="47"/>
  <c r="H117" i="47"/>
  <c r="H119" i="47"/>
  <c r="H105" i="47"/>
  <c r="BF107" i="47" s="1"/>
  <c r="H103" i="47"/>
  <c r="H121" i="47"/>
  <c r="BF109" i="47" s="1"/>
  <c r="H126" i="47"/>
  <c r="H110" i="47"/>
  <c r="H104" i="47"/>
  <c r="BF112" i="47" s="1"/>
  <c r="H84" i="47"/>
  <c r="BF113" i="47" s="1"/>
  <c r="H115" i="47"/>
  <c r="BF114" i="47" s="1"/>
  <c r="H131" i="47"/>
  <c r="BF115" i="47" s="1"/>
  <c r="H109" i="47"/>
  <c r="H89" i="47"/>
  <c r="BF117" i="47" s="1"/>
  <c r="H86" i="47"/>
  <c r="H78" i="47"/>
  <c r="BF119" i="47" s="1"/>
  <c r="H74" i="47"/>
  <c r="BF120" i="47" s="1"/>
  <c r="H80" i="47"/>
  <c r="BF121" i="47" s="1"/>
  <c r="H82" i="47"/>
  <c r="H93" i="47"/>
  <c r="BF123" i="47" s="1"/>
  <c r="H94" i="47"/>
  <c r="H108" i="47"/>
  <c r="BF125" i="47" s="1"/>
  <c r="H113" i="47"/>
  <c r="BF126" i="47" s="1"/>
  <c r="H96" i="47"/>
  <c r="BF127" i="47" s="1"/>
  <c r="H85" i="47"/>
  <c r="BF128" i="47" s="1"/>
  <c r="H137" i="47"/>
  <c r="BF129" i="47" s="1"/>
  <c r="H138" i="47"/>
  <c r="H130" i="47"/>
  <c r="BF131" i="47" s="1"/>
  <c r="H132" i="47"/>
  <c r="BF132" i="47" s="1"/>
  <c r="H111" i="47"/>
  <c r="H102" i="47"/>
  <c r="H98" i="47"/>
  <c r="BF135" i="47" s="1"/>
  <c r="H92" i="47"/>
  <c r="H133" i="47"/>
  <c r="BF137" i="47" s="1"/>
  <c r="H91"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C97" i="50"/>
  <c r="C98" i="50"/>
  <c r="C99" i="50"/>
  <c r="C100" i="50"/>
  <c r="C101" i="50"/>
  <c r="C102" i="50"/>
  <c r="C103" i="50"/>
  <c r="C104" i="50"/>
  <c r="C105" i="50"/>
  <c r="C106" i="50"/>
  <c r="C107" i="50"/>
  <c r="C108" i="50"/>
  <c r="C109" i="50"/>
  <c r="C110" i="50"/>
  <c r="C111" i="50"/>
  <c r="D111" i="50"/>
  <c r="C112" i="50"/>
  <c r="C113" i="50"/>
  <c r="C114" i="50"/>
  <c r="D114" i="50"/>
  <c r="A114" i="50"/>
  <c r="C115" i="50"/>
  <c r="C116" i="50"/>
  <c r="A116" i="50" s="1"/>
  <c r="D116" i="50"/>
  <c r="C117" i="50"/>
  <c r="C118" i="50"/>
  <c r="D118" i="50"/>
  <c r="C119" i="50"/>
  <c r="D119" i="50"/>
  <c r="A119" i="50" s="1"/>
  <c r="C120" i="50"/>
  <c r="C121" i="50"/>
  <c r="C122" i="50"/>
  <c r="D122" i="50"/>
  <c r="B122" i="50" s="1"/>
  <c r="C123" i="50"/>
  <c r="C124" i="50"/>
  <c r="C125" i="50"/>
  <c r="C126" i="50"/>
  <c r="C127" i="50"/>
  <c r="D127" i="50"/>
  <c r="A127" i="50" s="1"/>
  <c r="C128" i="50"/>
  <c r="C129" i="50"/>
  <c r="C130" i="50"/>
  <c r="D130" i="50"/>
  <c r="B114" i="50"/>
  <c r="B16" i="92"/>
  <c r="D101" i="50" s="1"/>
  <c r="B12" i="92"/>
  <c r="B156" i="15" s="1"/>
  <c r="B16" i="94"/>
  <c r="D93" i="50" s="1"/>
  <c r="B12" i="94"/>
  <c r="B144" i="15" s="1"/>
  <c r="B16" i="96"/>
  <c r="D85" i="50" s="1"/>
  <c r="B16" i="98"/>
  <c r="D77" i="50" s="1"/>
  <c r="B16" i="85"/>
  <c r="D129" i="50" s="1"/>
  <c r="A129" i="50" s="1"/>
  <c r="B12" i="85"/>
  <c r="B198" i="15" s="1"/>
  <c r="B16" i="87"/>
  <c r="D121" i="50"/>
  <c r="B121" i="50" s="1"/>
  <c r="B16" i="89"/>
  <c r="D113" i="50" s="1"/>
  <c r="B12" i="89"/>
  <c r="B174" i="15" s="1"/>
  <c r="B12" i="97"/>
  <c r="B126" i="15" s="1"/>
  <c r="B16" i="86"/>
  <c r="D125" i="50"/>
  <c r="A125" i="50" s="1"/>
  <c r="B16" i="90"/>
  <c r="D109" i="50" s="1"/>
  <c r="B119" i="50"/>
  <c r="B16" i="91"/>
  <c r="D105" i="50"/>
  <c r="A105" i="50" s="1"/>
  <c r="B16" i="95"/>
  <c r="D89" i="50" s="1"/>
  <c r="D160" i="15"/>
  <c r="K160" i="15" s="1"/>
  <c r="D148" i="15"/>
  <c r="K148" i="15" s="1"/>
  <c r="B111" i="50"/>
  <c r="B16" i="97"/>
  <c r="D81" i="50" s="1"/>
  <c r="B17" i="98"/>
  <c r="D78" i="50" s="1"/>
  <c r="B116" i="50"/>
  <c r="B14" i="98"/>
  <c r="D75" i="50" s="1"/>
  <c r="A121" i="50"/>
  <c r="D136" i="15"/>
  <c r="K136" i="15" s="1"/>
  <c r="B12" i="95"/>
  <c r="B138" i="15" s="1"/>
  <c r="B16" i="93"/>
  <c r="D97" i="50" s="1"/>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H107" i="117"/>
  <c r="H105" i="117"/>
  <c r="H103" i="117"/>
  <c r="H101" i="117"/>
  <c r="H99" i="117"/>
  <c r="H97" i="117"/>
  <c r="H95" i="117"/>
  <c r="H93" i="117"/>
  <c r="H91" i="117"/>
  <c r="H89" i="117"/>
  <c r="H87" i="117"/>
  <c r="H85" i="117"/>
  <c r="H83" i="117"/>
  <c r="H81" i="117"/>
  <c r="H79" i="117"/>
  <c r="B1" i="123"/>
  <c r="I1" i="123"/>
  <c r="O1" i="123"/>
  <c r="O145" i="47"/>
  <c r="V1" i="123"/>
  <c r="AA145" i="47"/>
  <c r="D1" i="123"/>
  <c r="O143" i="47"/>
  <c r="AA142" i="47"/>
  <c r="G1" i="123"/>
  <c r="I139" i="47"/>
  <c r="O148" i="47"/>
  <c r="AA144" i="47"/>
  <c r="Z1" i="123"/>
  <c r="AA141" i="47"/>
  <c r="N1" i="123"/>
  <c r="AA146" i="47"/>
  <c r="O139" i="47"/>
  <c r="AA143" i="47"/>
  <c r="Q1" i="123"/>
  <c r="I147" i="47"/>
  <c r="O142" i="47"/>
  <c r="X1" i="123"/>
  <c r="AD1" i="123"/>
  <c r="S1" i="123"/>
  <c r="P1" i="123"/>
  <c r="I143" i="47"/>
  <c r="U141" i="47"/>
  <c r="AC1" i="123"/>
  <c r="T1" i="123"/>
  <c r="I145" i="47"/>
  <c r="AA140" i="47"/>
  <c r="U139" i="47"/>
  <c r="I146" i="47"/>
  <c r="AF1" i="123"/>
  <c r="H1" i="123"/>
  <c r="A1" i="123"/>
  <c r="L1" i="123"/>
  <c r="U148" i="47"/>
  <c r="AE1" i="123"/>
  <c r="I140" i="47"/>
  <c r="U142" i="47"/>
  <c r="O144" i="47"/>
  <c r="Y1" i="123"/>
  <c r="M1" i="123"/>
  <c r="I144" i="47"/>
  <c r="J1" i="123"/>
  <c r="U146" i="47"/>
  <c r="U143" i="47"/>
  <c r="O147" i="47"/>
  <c r="AA1" i="123"/>
  <c r="O140" i="47"/>
  <c r="K1" i="123"/>
  <c r="AA148" i="47"/>
  <c r="AA147" i="47"/>
  <c r="AB1" i="123"/>
  <c r="F1" i="123"/>
  <c r="W1" i="123"/>
  <c r="U1" i="123"/>
  <c r="U147" i="47"/>
  <c r="C1" i="123"/>
  <c r="O146" i="47"/>
  <c r="AA139" i="47"/>
  <c r="R1" i="123"/>
  <c r="O141" i="47"/>
  <c r="U144" i="47"/>
  <c r="E1" i="123"/>
  <c r="I148" i="47"/>
  <c r="I141" i="47"/>
  <c r="U140" i="47"/>
  <c r="U145" i="47"/>
  <c r="I142" i="47"/>
  <c r="B130" i="50" l="1"/>
  <c r="A130" i="50"/>
  <c r="A118" i="50"/>
  <c r="B118" i="50"/>
  <c r="D184" i="15"/>
  <c r="K184" i="15" s="1"/>
  <c r="B12" i="87"/>
  <c r="B186" i="15" s="1"/>
  <c r="B113" i="50"/>
  <c r="A113" i="50"/>
  <c r="B127" i="50"/>
  <c r="A122" i="50"/>
  <c r="A111" i="50"/>
  <c r="BF136" i="47"/>
  <c r="BF134" i="47"/>
  <c r="BF124" i="47"/>
  <c r="BF122" i="47"/>
  <c r="BF118" i="47"/>
  <c r="BF116" i="47"/>
  <c r="BF100" i="47"/>
  <c r="B15" i="92"/>
  <c r="D100" i="50" s="1"/>
  <c r="B15" i="94"/>
  <c r="D92" i="50" s="1"/>
  <c r="B15" i="95"/>
  <c r="D88" i="50" s="1"/>
  <c r="B17" i="95"/>
  <c r="D90" i="50" s="1"/>
  <c r="B14" i="95"/>
  <c r="D87" i="50" s="1"/>
  <c r="B15" i="96"/>
  <c r="D84" i="50" s="1"/>
  <c r="B17" i="96"/>
  <c r="D86" i="50" s="1"/>
  <c r="B14" i="96"/>
  <c r="D83" i="50" s="1"/>
  <c r="E10" i="96"/>
  <c r="B15" i="85"/>
  <c r="D128" i="50" s="1"/>
  <c r="E10" i="86"/>
  <c r="B15" i="87"/>
  <c r="D120" i="50" s="1"/>
  <c r="B16" i="88"/>
  <c r="D117" i="50" s="1"/>
  <c r="B14" i="88"/>
  <c r="D115" i="50" s="1"/>
  <c r="E10" i="88"/>
  <c r="F106" i="120"/>
  <c r="F90" i="120"/>
  <c r="F34" i="120"/>
  <c r="F26" i="120"/>
  <c r="F10" i="120"/>
  <c r="F34" i="109"/>
  <c r="F26" i="109"/>
  <c r="F10" i="109"/>
  <c r="BF99" i="47"/>
  <c r="BF133" i="47"/>
  <c r="BF105" i="47"/>
  <c r="BF93" i="47"/>
  <c r="BF89" i="47"/>
  <c r="BF85" i="47"/>
  <c r="BF81" i="47"/>
  <c r="BF130" i="47"/>
  <c r="BF110" i="47"/>
  <c r="BF106" i="47"/>
  <c r="BF102" i="47"/>
  <c r="BF98" i="47"/>
  <c r="BF94" i="47"/>
  <c r="BF90" i="47"/>
  <c r="BF86" i="47"/>
  <c r="BF82" i="47"/>
  <c r="BF78" i="47"/>
  <c r="BF74" i="47"/>
  <c r="BF58" i="47"/>
  <c r="BF54" i="47"/>
  <c r="BF111" i="47"/>
  <c r="BF91" i="47"/>
  <c r="BF75" i="47"/>
  <c r="BF108" i="47"/>
  <c r="BF104" i="47"/>
  <c r="BF96" i="47"/>
  <c r="BF92" i="47"/>
  <c r="BF84" i="47"/>
  <c r="BF80" i="47"/>
  <c r="BF76" i="47"/>
  <c r="BF60" i="47"/>
  <c r="BF56" i="47"/>
  <c r="BF52" i="47"/>
  <c r="K6" i="47"/>
  <c r="K5" i="47"/>
  <c r="B2" i="61"/>
  <c r="B2" i="63"/>
  <c r="B1" i="15"/>
  <c r="K3" i="47"/>
  <c r="A2" i="61"/>
  <c r="B75" i="50"/>
  <c r="A75" i="50"/>
  <c r="A97" i="50"/>
  <c r="B97" i="50"/>
  <c r="B106" i="50"/>
  <c r="A106" i="50"/>
  <c r="B102" i="50"/>
  <c r="A102" i="50"/>
  <c r="A98" i="50"/>
  <c r="B98" i="50"/>
  <c r="A94" i="50"/>
  <c r="B94" i="50"/>
  <c r="B82" i="50"/>
  <c r="A82" i="50"/>
  <c r="B12" i="98"/>
  <c r="B120" i="15" s="1"/>
  <c r="D118" i="15"/>
  <c r="K118" i="15" s="1"/>
  <c r="A124" i="50"/>
  <c r="B124" i="50"/>
  <c r="A108" i="50"/>
  <c r="B108" i="50"/>
  <c r="A107" i="50"/>
  <c r="B107" i="50"/>
  <c r="A85" i="50"/>
  <c r="B85" i="50"/>
  <c r="A101" i="50"/>
  <c r="B101" i="50"/>
  <c r="B88" i="50"/>
  <c r="A88" i="50"/>
  <c r="A87" i="50"/>
  <c r="B87" i="50"/>
  <c r="A84" i="50"/>
  <c r="B84" i="50"/>
  <c r="A83" i="50"/>
  <c r="B83" i="50"/>
  <c r="B128" i="50"/>
  <c r="A128" i="50"/>
  <c r="A126" i="50"/>
  <c r="B126" i="50"/>
  <c r="B120" i="50"/>
  <c r="A120" i="50"/>
  <c r="B117" i="50"/>
  <c r="A117" i="50"/>
  <c r="B115" i="50"/>
  <c r="A115" i="50"/>
  <c r="A81" i="50"/>
  <c r="B81" i="50"/>
  <c r="B89" i="50"/>
  <c r="A89" i="50"/>
  <c r="A109" i="50"/>
  <c r="B109" i="50"/>
  <c r="A77" i="50"/>
  <c r="B77" i="50"/>
  <c r="B104" i="50"/>
  <c r="A104" i="50"/>
  <c r="A103" i="50"/>
  <c r="B103" i="50"/>
  <c r="A99" i="50"/>
  <c r="B99" i="50"/>
  <c r="B96" i="50"/>
  <c r="A96" i="50"/>
  <c r="A95" i="50"/>
  <c r="B95" i="50"/>
  <c r="A91" i="50"/>
  <c r="B91" i="50"/>
  <c r="B80" i="50"/>
  <c r="A80" i="50"/>
  <c r="B79" i="50"/>
  <c r="A79" i="50"/>
  <c r="B76" i="50"/>
  <c r="A76" i="50"/>
  <c r="B123" i="50"/>
  <c r="A123" i="50"/>
  <c r="B112" i="50"/>
  <c r="A112" i="50"/>
  <c r="A110" i="50"/>
  <c r="B110" i="50"/>
  <c r="A78" i="50"/>
  <c r="B78" i="50"/>
  <c r="B93" i="50"/>
  <c r="A93" i="50"/>
  <c r="A100" i="50"/>
  <c r="B100" i="50"/>
  <c r="B92" i="50"/>
  <c r="A92" i="50"/>
  <c r="B90" i="50"/>
  <c r="A90" i="50"/>
  <c r="B86" i="50"/>
  <c r="A86" i="50"/>
  <c r="D130" i="15"/>
  <c r="K130" i="15" s="1"/>
  <c r="B12" i="96"/>
  <c r="B132" i="15" s="1"/>
  <c r="B12" i="86"/>
  <c r="B192" i="15" s="1"/>
  <c r="D190" i="15"/>
  <c r="K190" i="15" s="1"/>
  <c r="D178" i="15"/>
  <c r="K178" i="15" s="1"/>
  <c r="B12" i="88"/>
  <c r="B180" i="15" s="1"/>
  <c r="B12" i="90"/>
  <c r="B168" i="15" s="1"/>
  <c r="D166" i="15"/>
  <c r="K166" i="15" s="1"/>
  <c r="B105" i="50"/>
  <c r="B129" i="50"/>
  <c r="H106" i="117"/>
  <c r="H98" i="117"/>
  <c r="H90" i="117"/>
  <c r="H82" i="117"/>
  <c r="H74" i="117"/>
  <c r="H66" i="117"/>
  <c r="H58" i="117"/>
  <c r="H50" i="117"/>
  <c r="H42" i="117"/>
  <c r="H34" i="117"/>
  <c r="H26" i="117"/>
  <c r="H18" i="117"/>
  <c r="H17" i="117"/>
  <c r="H16" i="117"/>
  <c r="H15" i="117"/>
  <c r="H14" i="117"/>
  <c r="H13" i="117"/>
  <c r="H12" i="117"/>
  <c r="H11" i="117"/>
  <c r="H10" i="117"/>
  <c r="H9" i="117"/>
  <c r="H8" i="117"/>
  <c r="H7" i="117"/>
  <c r="H6" i="117"/>
  <c r="H5" i="117"/>
  <c r="E41" i="123"/>
  <c r="E39" i="123"/>
  <c r="E37" i="123"/>
  <c r="E35" i="123"/>
  <c r="E33" i="123"/>
  <c r="E31" i="123"/>
  <c r="E29" i="123"/>
  <c r="E27" i="123"/>
  <c r="E25" i="123"/>
  <c r="E23" i="123"/>
  <c r="E21" i="123"/>
  <c r="E19" i="123"/>
  <c r="E17" i="123"/>
  <c r="E15" i="123"/>
  <c r="E13" i="123"/>
  <c r="G121" i="117"/>
  <c r="G120" i="117"/>
  <c r="G119" i="117"/>
  <c r="G118" i="117"/>
  <c r="G117" i="117"/>
  <c r="G116" i="117"/>
  <c r="G115" i="117"/>
  <c r="G114" i="117"/>
  <c r="G113" i="117"/>
  <c r="G112" i="117"/>
  <c r="G111" i="117"/>
  <c r="G110" i="117"/>
  <c r="G109" i="117"/>
  <c r="G108" i="117"/>
  <c r="G100" i="117"/>
  <c r="G92" i="117"/>
  <c r="G84" i="117"/>
  <c r="G76" i="117"/>
  <c r="G68" i="117"/>
  <c r="G60" i="117"/>
  <c r="G52" i="117"/>
  <c r="G44" i="117"/>
  <c r="G36" i="117"/>
  <c r="G28" i="117"/>
  <c r="G20" i="117"/>
  <c r="B125" i="50"/>
  <c r="A532" i="63"/>
  <c r="E532" i="63"/>
  <c r="F532" i="63"/>
  <c r="AQ94" i="47"/>
  <c r="B460" i="61"/>
  <c r="E241" i="63"/>
  <c r="AO121" i="47"/>
  <c r="A241" i="63"/>
  <c r="F241" i="63"/>
  <c r="B398" i="61"/>
  <c r="F475" i="63"/>
  <c r="A475" i="63"/>
  <c r="B232" i="61"/>
  <c r="E475" i="63"/>
  <c r="AQ67" i="47"/>
  <c r="AN26" i="47"/>
  <c r="A11" i="63"/>
  <c r="B65" i="61"/>
  <c r="F11" i="63"/>
  <c r="AP56" i="47"/>
  <c r="E325" i="63"/>
  <c r="B183" i="61"/>
  <c r="F325" i="63"/>
  <c r="A325" i="63"/>
  <c r="E531" i="63"/>
  <c r="A531" i="63"/>
  <c r="B456" i="61"/>
  <c r="F531" i="63"/>
  <c r="AQ93" i="47"/>
  <c r="E480" i="63"/>
  <c r="AQ72" i="47"/>
  <c r="F480" i="63"/>
  <c r="A480" i="63"/>
  <c r="B252" i="61"/>
  <c r="E323" i="63"/>
  <c r="F323" i="63"/>
  <c r="A323" i="63"/>
  <c r="AP54" i="47"/>
  <c r="B175" i="61"/>
  <c r="B198" i="61"/>
  <c r="F98" i="63"/>
  <c r="E98" i="63"/>
  <c r="AO60" i="47"/>
  <c r="A98" i="63"/>
  <c r="A393" i="63"/>
  <c r="E393" i="63"/>
  <c r="AP93" i="47"/>
  <c r="F393" i="63"/>
  <c r="B455" i="61"/>
  <c r="B490" i="61"/>
  <c r="AO132" i="47"/>
  <c r="E264" i="63"/>
  <c r="F264" i="63"/>
  <c r="A264" i="63"/>
  <c r="F528" i="63"/>
  <c r="B444" i="61"/>
  <c r="AQ74" i="47"/>
  <c r="A528" i="63"/>
  <c r="E528" i="63"/>
  <c r="F516" i="63"/>
  <c r="A516" i="63"/>
  <c r="E516" i="63"/>
  <c r="AQ103" i="47"/>
  <c r="B396" i="61"/>
  <c r="A482" i="63"/>
  <c r="F482" i="63"/>
  <c r="E482" i="63"/>
  <c r="AQ125" i="47"/>
  <c r="B260" i="61"/>
  <c r="E446" i="63"/>
  <c r="A446" i="63"/>
  <c r="AQ38" i="47"/>
  <c r="F446" i="63"/>
  <c r="B116" i="61"/>
  <c r="AP64" i="47"/>
  <c r="F334" i="63"/>
  <c r="A334" i="63"/>
  <c r="B219" i="61"/>
  <c r="E334" i="63"/>
  <c r="A138" i="63"/>
  <c r="AN90" i="47"/>
  <c r="F138" i="63"/>
  <c r="B309" i="61"/>
  <c r="B230" i="61"/>
  <c r="A110" i="63"/>
  <c r="E110" i="63"/>
  <c r="F110" i="63"/>
  <c r="AO67" i="47"/>
  <c r="A454" i="63"/>
  <c r="F454" i="63"/>
  <c r="B148" i="61"/>
  <c r="E454" i="63"/>
  <c r="AQ46" i="47"/>
  <c r="B261" i="61"/>
  <c r="F126" i="63"/>
  <c r="AN100" i="47"/>
  <c r="A126" i="63"/>
  <c r="B310" i="61"/>
  <c r="F219" i="63"/>
  <c r="E219" i="63"/>
  <c r="AO90" i="47"/>
  <c r="A219" i="63"/>
  <c r="AN127" i="47"/>
  <c r="B329" i="61"/>
  <c r="F143" i="63"/>
  <c r="A143" i="63"/>
  <c r="B376" i="61"/>
  <c r="E511" i="63"/>
  <c r="F511" i="63"/>
  <c r="AQ81" i="47"/>
  <c r="A511" i="63"/>
  <c r="A165" i="63"/>
  <c r="AN115" i="47"/>
  <c r="F165" i="63"/>
  <c r="B417" i="61"/>
  <c r="F543" i="63"/>
  <c r="A543" i="63"/>
  <c r="E543" i="63"/>
  <c r="B504" i="61"/>
  <c r="AQ98" i="47"/>
  <c r="AQ39" i="47"/>
  <c r="F447" i="63"/>
  <c r="A447" i="63"/>
  <c r="B120" i="61"/>
  <c r="E447" i="63"/>
  <c r="AN102" i="47"/>
  <c r="B497" i="61"/>
  <c r="F185" i="63"/>
  <c r="A185" i="63"/>
  <c r="F176" i="63"/>
  <c r="A176" i="63"/>
  <c r="B461" i="61"/>
  <c r="AN108" i="47"/>
  <c r="Q146" i="47"/>
  <c r="C278" i="63" s="1"/>
  <c r="S146" i="47"/>
  <c r="E278" i="63" s="1"/>
  <c r="A278" i="63"/>
  <c r="T146" i="47"/>
  <c r="F278" i="63" s="1"/>
  <c r="AO146" i="47"/>
  <c r="F79" i="63"/>
  <c r="AN55" i="47"/>
  <c r="B177" i="61"/>
  <c r="A79" i="63"/>
  <c r="B95" i="61"/>
  <c r="A303" i="63"/>
  <c r="E303" i="63"/>
  <c r="AP33" i="47"/>
  <c r="F303" i="63"/>
  <c r="E58" i="63"/>
  <c r="AO24" i="47"/>
  <c r="B58" i="61"/>
  <c r="F58" i="63"/>
  <c r="A58" i="63"/>
  <c r="AP66" i="47"/>
  <c r="B227" i="61"/>
  <c r="F336" i="63"/>
  <c r="E336" i="63"/>
  <c r="A336" i="63"/>
  <c r="AO81" i="47"/>
  <c r="F235" i="63"/>
  <c r="A235" i="63"/>
  <c r="E235" i="63"/>
  <c r="B374" i="61"/>
  <c r="B322" i="61"/>
  <c r="E222" i="63"/>
  <c r="F222" i="63"/>
  <c r="AO101" i="47"/>
  <c r="A222" i="63"/>
  <c r="F488" i="63"/>
  <c r="B284" i="61"/>
  <c r="A488" i="63"/>
  <c r="E488" i="63"/>
  <c r="AQ128" i="47"/>
  <c r="AP34" i="47"/>
  <c r="A304" i="63"/>
  <c r="E304" i="63"/>
  <c r="B99" i="61"/>
  <c r="F304" i="63"/>
  <c r="B137" i="61"/>
  <c r="F74" i="63"/>
  <c r="AN44" i="47"/>
  <c r="A74" i="63"/>
  <c r="F85" i="63"/>
  <c r="AO53" i="47"/>
  <c r="B170" i="61"/>
  <c r="E85" i="63"/>
  <c r="A85" i="63"/>
  <c r="AN69" i="47"/>
  <c r="A113" i="63"/>
  <c r="B237" i="61"/>
  <c r="F113" i="63"/>
  <c r="AN81" i="47"/>
  <c r="A154" i="63"/>
  <c r="B373" i="61"/>
  <c r="F154" i="63"/>
  <c r="AN53" i="47"/>
  <c r="B169" i="61"/>
  <c r="F93" i="63"/>
  <c r="A93" i="63"/>
  <c r="F29" i="63"/>
  <c r="A29" i="63"/>
  <c r="AN20" i="47"/>
  <c r="B41" i="61"/>
  <c r="F471" i="63"/>
  <c r="E471" i="63"/>
  <c r="A471" i="63"/>
  <c r="B216" i="61"/>
  <c r="AQ63" i="47"/>
  <c r="F132" i="63"/>
  <c r="B285" i="61"/>
  <c r="AN83" i="47"/>
  <c r="A132" i="63"/>
  <c r="A474" i="63"/>
  <c r="F474" i="63"/>
  <c r="E474" i="63"/>
  <c r="AQ66" i="47"/>
  <c r="B228" i="61"/>
  <c r="B229" i="61"/>
  <c r="F112" i="63"/>
  <c r="A112" i="63"/>
  <c r="AN67" i="47"/>
  <c r="A367" i="63"/>
  <c r="AP76" i="47"/>
  <c r="E367" i="63"/>
  <c r="F367" i="63"/>
  <c r="B351" i="61"/>
  <c r="E290" i="63"/>
  <c r="AP20" i="47"/>
  <c r="B43" i="61"/>
  <c r="F290" i="63"/>
  <c r="A290" i="63"/>
  <c r="E247" i="63"/>
  <c r="F247" i="63"/>
  <c r="A247" i="63"/>
  <c r="B422" i="61"/>
  <c r="AO131" i="47"/>
  <c r="E319" i="63"/>
  <c r="F319" i="63"/>
  <c r="AP49" i="47"/>
  <c r="A319" i="63"/>
  <c r="B159" i="61"/>
  <c r="AP90" i="47"/>
  <c r="E357" i="63"/>
  <c r="B311" i="61"/>
  <c r="F357" i="63"/>
  <c r="A357" i="63"/>
  <c r="B195" i="61"/>
  <c r="AP59" i="47"/>
  <c r="F328" i="63"/>
  <c r="E328" i="63"/>
  <c r="A328" i="63"/>
  <c r="A16" i="63"/>
  <c r="B21" i="61"/>
  <c r="AN15" i="47"/>
  <c r="F16" i="63"/>
  <c r="F452" i="63"/>
  <c r="E452" i="63"/>
  <c r="A452" i="63"/>
  <c r="B140" i="61"/>
  <c r="AQ44" i="47"/>
  <c r="F512" i="63"/>
  <c r="B380" i="61"/>
  <c r="A512" i="63"/>
  <c r="E512" i="63"/>
  <c r="AQ106" i="47"/>
  <c r="B242" i="61"/>
  <c r="E120" i="63"/>
  <c r="F120" i="63"/>
  <c r="A120" i="63"/>
  <c r="AO70" i="47"/>
  <c r="A38" i="63"/>
  <c r="B50" i="61"/>
  <c r="E38" i="63"/>
  <c r="AO22" i="47"/>
  <c r="F38" i="63"/>
  <c r="B12" i="61"/>
  <c r="E420" i="63"/>
  <c r="F420" i="63"/>
  <c r="AQ12" i="47"/>
  <c r="A420" i="63"/>
  <c r="B68" i="61"/>
  <c r="AQ26" i="47"/>
  <c r="F434" i="63"/>
  <c r="E434" i="63"/>
  <c r="A434" i="63"/>
  <c r="F520" i="63"/>
  <c r="B412" i="61"/>
  <c r="AQ104" i="47"/>
  <c r="E520" i="63"/>
  <c r="A520" i="63"/>
  <c r="F291" i="63"/>
  <c r="AP21" i="47"/>
  <c r="A291" i="63"/>
  <c r="B47" i="61"/>
  <c r="E291" i="63"/>
  <c r="A71" i="63"/>
  <c r="B122" i="61"/>
  <c r="F71" i="63"/>
  <c r="E71" i="63"/>
  <c r="AO40" i="47"/>
  <c r="B104" i="61"/>
  <c r="A443" i="63"/>
  <c r="E443" i="63"/>
  <c r="F443" i="63"/>
  <c r="AQ35" i="47"/>
  <c r="AN126" i="47"/>
  <c r="A161" i="63"/>
  <c r="F161" i="63"/>
  <c r="B401" i="61"/>
  <c r="AN54" i="47"/>
  <c r="A92" i="63"/>
  <c r="F92" i="63"/>
  <c r="B173" i="61"/>
  <c r="A66" i="63"/>
  <c r="AN39" i="47"/>
  <c r="B117" i="61"/>
  <c r="F66" i="63"/>
  <c r="E306" i="63"/>
  <c r="AP36" i="47"/>
  <c r="F306" i="63"/>
  <c r="A306" i="63"/>
  <c r="B107" i="61"/>
  <c r="E78" i="63"/>
  <c r="F78" i="63"/>
  <c r="B138" i="61"/>
  <c r="AO44" i="47"/>
  <c r="A78" i="63"/>
  <c r="E30" i="63"/>
  <c r="B42" i="61"/>
  <c r="F30" i="63"/>
  <c r="AO20" i="47"/>
  <c r="A30" i="63"/>
  <c r="A313" i="63"/>
  <c r="B135" i="61"/>
  <c r="E313" i="63"/>
  <c r="AP43" i="47"/>
  <c r="F313" i="63"/>
  <c r="F426" i="63"/>
  <c r="AQ18" i="47"/>
  <c r="A426" i="63"/>
  <c r="E426" i="63"/>
  <c r="B36" i="61"/>
  <c r="E535" i="63"/>
  <c r="A535" i="63"/>
  <c r="F535" i="63"/>
  <c r="B472" i="61"/>
  <c r="AQ96" i="47"/>
  <c r="AO88" i="47"/>
  <c r="A208" i="63"/>
  <c r="B266" i="61"/>
  <c r="E208" i="63"/>
  <c r="F208" i="63"/>
  <c r="E22" i="63"/>
  <c r="B38" i="61"/>
  <c r="AO19" i="47"/>
  <c r="F22" i="63"/>
  <c r="A22" i="63"/>
  <c r="E541" i="63"/>
  <c r="AQ111" i="47"/>
  <c r="B496" i="61"/>
  <c r="A541" i="63"/>
  <c r="F541" i="63"/>
  <c r="A109" i="63"/>
  <c r="AO56" i="47"/>
  <c r="F109" i="63"/>
  <c r="E109" i="63"/>
  <c r="B182" i="61"/>
  <c r="F69" i="63"/>
  <c r="A69" i="63"/>
  <c r="B125" i="61"/>
  <c r="AN41" i="47"/>
  <c r="E263" i="63"/>
  <c r="B486" i="61"/>
  <c r="AO130" i="47"/>
  <c r="A263" i="63"/>
  <c r="F263" i="63"/>
  <c r="F312" i="63"/>
  <c r="A312" i="63"/>
  <c r="E312" i="63"/>
  <c r="B131" i="61"/>
  <c r="AP42" i="47"/>
  <c r="F421" i="63"/>
  <c r="A421" i="63"/>
  <c r="AQ13" i="47"/>
  <c r="E421" i="63"/>
  <c r="B16" i="61"/>
  <c r="B292" i="61"/>
  <c r="A490" i="63"/>
  <c r="F490" i="63"/>
  <c r="E490" i="63"/>
  <c r="AQ97" i="47"/>
  <c r="E284" i="63"/>
  <c r="B19" i="61"/>
  <c r="AP14" i="47"/>
  <c r="F284" i="63"/>
  <c r="A284" i="63"/>
  <c r="B409" i="61"/>
  <c r="AN104" i="47"/>
  <c r="A163" i="63"/>
  <c r="F163" i="63"/>
  <c r="F385" i="63"/>
  <c r="AP131" i="47"/>
  <c r="A385" i="63"/>
  <c r="E385" i="63"/>
  <c r="B423" i="61"/>
  <c r="AE147" i="47"/>
  <c r="E555" i="63" s="1"/>
  <c r="AD147" i="47"/>
  <c r="D555" i="63" s="1"/>
  <c r="AB147" i="47"/>
  <c r="B555" i="63" s="1"/>
  <c r="A555" i="63"/>
  <c r="AC147" i="47"/>
  <c r="C555" i="63" s="1"/>
  <c r="AF147" i="47"/>
  <c r="F555" i="63" s="1"/>
  <c r="AQ147" i="47"/>
  <c r="AQ58" i="47"/>
  <c r="E465" i="63"/>
  <c r="F465" i="63"/>
  <c r="A465" i="63"/>
  <c r="B192" i="61"/>
  <c r="E389" i="63"/>
  <c r="B439" i="61"/>
  <c r="A389" i="63"/>
  <c r="F389" i="63"/>
  <c r="AP78" i="47"/>
  <c r="B451" i="61"/>
  <c r="AP82" i="47"/>
  <c r="E392" i="63"/>
  <c r="A392" i="63"/>
  <c r="F392" i="63"/>
  <c r="A188" i="63"/>
  <c r="B509" i="61"/>
  <c r="F188" i="63"/>
  <c r="AN133" i="47"/>
  <c r="E517" i="63"/>
  <c r="AQ121" i="47"/>
  <c r="F517" i="63"/>
  <c r="A517" i="63"/>
  <c r="B400" i="61"/>
  <c r="A14" i="63"/>
  <c r="F14" i="63"/>
  <c r="B57" i="61"/>
  <c r="AN24" i="47"/>
  <c r="A141" i="63"/>
  <c r="B321" i="61"/>
  <c r="F141" i="63"/>
  <c r="AN101" i="47"/>
  <c r="AN70" i="47"/>
  <c r="A117" i="63"/>
  <c r="B241" i="61"/>
  <c r="F117" i="63"/>
  <c r="AO35" i="47"/>
  <c r="E42" i="63"/>
  <c r="F42" i="63"/>
  <c r="B102" i="61"/>
  <c r="A42" i="63"/>
  <c r="B428" i="61"/>
  <c r="AQ109" i="47"/>
  <c r="F524" i="63"/>
  <c r="E524" i="63"/>
  <c r="A524" i="63"/>
  <c r="AP16" i="47"/>
  <c r="F286" i="63"/>
  <c r="B27" i="61"/>
  <c r="E286" i="63"/>
  <c r="A286" i="63"/>
  <c r="F164" i="63"/>
  <c r="B413" i="61"/>
  <c r="AN84" i="47"/>
  <c r="A164" i="63"/>
  <c r="A536" i="63"/>
  <c r="F536" i="63"/>
  <c r="AQ85" i="47"/>
  <c r="E536" i="63"/>
  <c r="B476" i="61"/>
  <c r="F397" i="63"/>
  <c r="E397" i="63"/>
  <c r="A397" i="63"/>
  <c r="AP96" i="47"/>
  <c r="B471" i="61"/>
  <c r="B238" i="61"/>
  <c r="F203" i="63"/>
  <c r="AO69" i="47"/>
  <c r="E203" i="63"/>
  <c r="A203" i="63"/>
  <c r="AP115" i="47"/>
  <c r="E384" i="63"/>
  <c r="F384" i="63"/>
  <c r="B419" i="61"/>
  <c r="A384" i="63"/>
  <c r="AN82" i="47"/>
  <c r="F173" i="63"/>
  <c r="B449" i="61"/>
  <c r="A173" i="63"/>
  <c r="E430" i="63"/>
  <c r="B52" i="61"/>
  <c r="F430" i="63"/>
  <c r="AQ22" i="47"/>
  <c r="A430" i="63"/>
  <c r="AQ89" i="47"/>
  <c r="A525" i="63"/>
  <c r="E525" i="63"/>
  <c r="F525" i="63"/>
  <c r="B432" i="61"/>
  <c r="AP23" i="47"/>
  <c r="F293" i="63"/>
  <c r="B55" i="61"/>
  <c r="E293" i="63"/>
  <c r="A293" i="63"/>
  <c r="F7" i="63"/>
  <c r="B17" i="61"/>
  <c r="A7" i="63"/>
  <c r="AN14" i="47"/>
  <c r="AO38" i="47"/>
  <c r="E72" i="63"/>
  <c r="A72" i="63"/>
  <c r="F72" i="63"/>
  <c r="B114" i="61"/>
  <c r="E347" i="63"/>
  <c r="A347" i="63"/>
  <c r="AP136" i="47"/>
  <c r="F347" i="63"/>
  <c r="B271" i="61"/>
  <c r="AN147" i="47"/>
  <c r="K147" i="47"/>
  <c r="C198" i="63" s="1"/>
  <c r="A198" i="63"/>
  <c r="N147" i="47"/>
  <c r="F198" i="63" s="1"/>
  <c r="M147" i="47"/>
  <c r="A495" i="63"/>
  <c r="F495" i="63"/>
  <c r="B312" i="61"/>
  <c r="E495" i="63"/>
  <c r="AQ90" i="47"/>
  <c r="F457" i="63"/>
  <c r="A457" i="63"/>
  <c r="B160" i="61"/>
  <c r="E457" i="63"/>
  <c r="AQ49" i="47"/>
  <c r="E315" i="63"/>
  <c r="B143" i="61"/>
  <c r="F315" i="63"/>
  <c r="A315" i="63"/>
  <c r="AP45" i="47"/>
  <c r="B336" i="61"/>
  <c r="F501" i="63"/>
  <c r="AQ134" i="47"/>
  <c r="E501" i="63"/>
  <c r="A501" i="63"/>
  <c r="B111" i="61"/>
  <c r="AP37" i="47"/>
  <c r="F307" i="63"/>
  <c r="E307" i="63"/>
  <c r="A307" i="63"/>
  <c r="AN17" i="47"/>
  <c r="F34" i="63"/>
  <c r="A34" i="63"/>
  <c r="B29" i="61"/>
  <c r="B74" i="61"/>
  <c r="A49" i="63"/>
  <c r="E49" i="63"/>
  <c r="F49" i="63"/>
  <c r="AO28" i="47"/>
  <c r="M144" i="47"/>
  <c r="A195" i="63"/>
  <c r="N144" i="47"/>
  <c r="F195" i="63" s="1"/>
  <c r="K144" i="47"/>
  <c r="C195" i="63" s="1"/>
  <c r="AN144" i="47"/>
  <c r="B239" i="61"/>
  <c r="AP69" i="47"/>
  <c r="F339" i="63"/>
  <c r="E339" i="63"/>
  <c r="A339" i="63"/>
  <c r="AQ17" i="47"/>
  <c r="E425" i="63"/>
  <c r="A425" i="63"/>
  <c r="B32" i="61"/>
  <c r="F425" i="63"/>
  <c r="AN63" i="47"/>
  <c r="F108" i="63"/>
  <c r="A108" i="63"/>
  <c r="B213" i="61"/>
  <c r="A365" i="63"/>
  <c r="AP116" i="47"/>
  <c r="F365" i="63"/>
  <c r="E365" i="63"/>
  <c r="B343" i="61"/>
  <c r="AN94" i="47"/>
  <c r="F175" i="63"/>
  <c r="A175" i="63"/>
  <c r="B457" i="61"/>
  <c r="AN38" i="47"/>
  <c r="B113" i="61"/>
  <c r="F51" i="63"/>
  <c r="A51" i="63"/>
  <c r="B13" i="61"/>
  <c r="F6" i="63"/>
  <c r="A6" i="63"/>
  <c r="AN13" i="47"/>
  <c r="AN91" i="47"/>
  <c r="F189" i="63"/>
  <c r="A189" i="63"/>
  <c r="B513" i="61"/>
  <c r="AQ138" i="47"/>
  <c r="F538" i="63"/>
  <c r="E538" i="63"/>
  <c r="B484" i="61"/>
  <c r="A538" i="63"/>
  <c r="A217" i="63"/>
  <c r="F217" i="63"/>
  <c r="E217" i="63"/>
  <c r="B302" i="61"/>
  <c r="AO118" i="47"/>
  <c r="B87" i="61"/>
  <c r="F301" i="63"/>
  <c r="AP31" i="47"/>
  <c r="A301" i="63"/>
  <c r="E301" i="63"/>
  <c r="AP12" i="47"/>
  <c r="A282" i="63"/>
  <c r="F282" i="63"/>
  <c r="B11" i="61"/>
  <c r="E282" i="63"/>
  <c r="A368" i="63"/>
  <c r="B355" i="61"/>
  <c r="F368" i="63"/>
  <c r="E368" i="63"/>
  <c r="AP79" i="47"/>
  <c r="E445" i="63"/>
  <c r="AQ37" i="47"/>
  <c r="F445" i="63"/>
  <c r="B112" i="61"/>
  <c r="A445" i="63"/>
  <c r="E441" i="63"/>
  <c r="F441" i="63"/>
  <c r="B96" i="61"/>
  <c r="A441" i="63"/>
  <c r="AQ33" i="47"/>
  <c r="A360" i="63"/>
  <c r="E360" i="63"/>
  <c r="AP101" i="47"/>
  <c r="F360" i="63"/>
  <c r="B323" i="61"/>
  <c r="F527" i="63"/>
  <c r="A527" i="63"/>
  <c r="B440" i="61"/>
  <c r="E527" i="63"/>
  <c r="AQ78" i="47"/>
  <c r="A103" i="63"/>
  <c r="F103" i="63"/>
  <c r="E103" i="63"/>
  <c r="AO46" i="47"/>
  <c r="B146" i="61"/>
  <c r="E101" i="63"/>
  <c r="B190" i="61"/>
  <c r="A101" i="63"/>
  <c r="F101" i="63"/>
  <c r="AO58" i="47"/>
  <c r="B470" i="61"/>
  <c r="E259" i="63"/>
  <c r="A259" i="63"/>
  <c r="F259" i="63"/>
  <c r="AO96" i="47"/>
  <c r="E440" i="63"/>
  <c r="B92" i="61"/>
  <c r="A440" i="63"/>
  <c r="F440" i="63"/>
  <c r="AQ32" i="47"/>
  <c r="AP19" i="47"/>
  <c r="A289" i="63"/>
  <c r="E289" i="63"/>
  <c r="B39" i="61"/>
  <c r="F289" i="63"/>
  <c r="B482" i="61"/>
  <c r="F262" i="63"/>
  <c r="A262" i="63"/>
  <c r="E262" i="63"/>
  <c r="AO138" i="47"/>
  <c r="B447" i="61"/>
  <c r="A391" i="63"/>
  <c r="F391" i="63"/>
  <c r="AP80" i="47"/>
  <c r="E391" i="63"/>
  <c r="F400" i="63"/>
  <c r="B483" i="61"/>
  <c r="AP138" i="47"/>
  <c r="E400" i="63"/>
  <c r="A400" i="63"/>
  <c r="F100" i="63"/>
  <c r="A100" i="63"/>
  <c r="E100" i="63"/>
  <c r="B214" i="61"/>
  <c r="AO63" i="47"/>
  <c r="Z145" i="47"/>
  <c r="F415" i="63" s="1"/>
  <c r="W145" i="47"/>
  <c r="C415" i="63" s="1"/>
  <c r="Y145" i="47"/>
  <c r="E415" i="63" s="1"/>
  <c r="A415" i="63"/>
  <c r="AP145" i="47"/>
  <c r="AQ40" i="47"/>
  <c r="E448" i="63"/>
  <c r="B124" i="61"/>
  <c r="F448" i="63"/>
  <c r="A448" i="63"/>
  <c r="F8" i="63"/>
  <c r="AO16" i="47"/>
  <c r="B26" i="61"/>
  <c r="E8" i="63"/>
  <c r="A8" i="63"/>
  <c r="A450" i="63"/>
  <c r="F450" i="63"/>
  <c r="E450" i="63"/>
  <c r="AQ42" i="47"/>
  <c r="B132" i="61"/>
  <c r="A33" i="63"/>
  <c r="B49" i="61"/>
  <c r="F33" i="63"/>
  <c r="AN22" i="47"/>
  <c r="E494" i="63"/>
  <c r="F494" i="63"/>
  <c r="AQ135" i="47"/>
  <c r="A494" i="63"/>
  <c r="B308" i="61"/>
  <c r="F335" i="63"/>
  <c r="E335" i="63"/>
  <c r="A335" i="63"/>
  <c r="AP65" i="47"/>
  <c r="B223" i="61"/>
  <c r="AP24" i="47"/>
  <c r="E294" i="63"/>
  <c r="F294" i="63"/>
  <c r="B59" i="61"/>
  <c r="A294" i="63"/>
  <c r="A19" i="63"/>
  <c r="B33" i="61"/>
  <c r="AN18" i="47"/>
  <c r="F19" i="63"/>
  <c r="AP137" i="47"/>
  <c r="A399" i="63"/>
  <c r="B479" i="61"/>
  <c r="F399" i="63"/>
  <c r="E399" i="63"/>
  <c r="AQ84" i="47"/>
  <c r="F521" i="63"/>
  <c r="E521" i="63"/>
  <c r="A521" i="63"/>
  <c r="B416" i="61"/>
  <c r="AQ24" i="47"/>
  <c r="F432" i="63"/>
  <c r="E432" i="63"/>
  <c r="A432" i="63"/>
  <c r="B60" i="61"/>
  <c r="AP63" i="47"/>
  <c r="A333" i="63"/>
  <c r="E333" i="63"/>
  <c r="F333" i="63"/>
  <c r="B215" i="61"/>
  <c r="E359" i="63"/>
  <c r="A359" i="63"/>
  <c r="F359" i="63"/>
  <c r="B319" i="61"/>
  <c r="AP124" i="47"/>
  <c r="E473" i="63"/>
  <c r="A473" i="63"/>
  <c r="F473" i="63"/>
  <c r="AQ65" i="47"/>
  <c r="B224" i="61"/>
  <c r="A487" i="63"/>
  <c r="AQ122" i="47"/>
  <c r="E487" i="63"/>
  <c r="F487" i="63"/>
  <c r="B280" i="61"/>
  <c r="AP75" i="47"/>
  <c r="B315" i="61"/>
  <c r="E358" i="63"/>
  <c r="F358" i="63"/>
  <c r="A358" i="63"/>
  <c r="AN72" i="47"/>
  <c r="A121" i="63"/>
  <c r="F121" i="63"/>
  <c r="B249" i="61"/>
  <c r="W139" i="47"/>
  <c r="C409" i="63" s="1"/>
  <c r="Y139" i="47"/>
  <c r="E409" i="63" s="1"/>
  <c r="A409" i="63"/>
  <c r="AP139" i="47"/>
  <c r="Z139" i="47"/>
  <c r="F409" i="63" s="1"/>
  <c r="AO97" i="47"/>
  <c r="A214" i="63"/>
  <c r="E214" i="63"/>
  <c r="F214" i="63"/>
  <c r="B290" i="61"/>
  <c r="B184" i="61"/>
  <c r="AQ56" i="47"/>
  <c r="A463" i="63"/>
  <c r="F463" i="63"/>
  <c r="E463" i="63"/>
  <c r="A456" i="63"/>
  <c r="AQ48" i="47"/>
  <c r="B156" i="61"/>
  <c r="F456" i="63"/>
  <c r="E456" i="63"/>
  <c r="A251" i="63"/>
  <c r="E251" i="63"/>
  <c r="B438" i="61"/>
  <c r="AO78" i="47"/>
  <c r="F251" i="63"/>
  <c r="E539" i="63"/>
  <c r="F539" i="63"/>
  <c r="A539" i="63"/>
  <c r="AQ130" i="47"/>
  <c r="B488" i="61"/>
  <c r="B123" i="61"/>
  <c r="F310" i="63"/>
  <c r="AP40" i="47"/>
  <c r="E310" i="63"/>
  <c r="A310" i="63"/>
  <c r="AQ30" i="47"/>
  <c r="F438" i="63"/>
  <c r="E438" i="63"/>
  <c r="A438" i="63"/>
  <c r="B84" i="61"/>
  <c r="A131" i="63"/>
  <c r="B281" i="61"/>
  <c r="F131" i="63"/>
  <c r="AN128" i="47"/>
  <c r="B207" i="61"/>
  <c r="F331" i="63"/>
  <c r="AP61" i="47"/>
  <c r="A331" i="63"/>
  <c r="E331" i="63"/>
  <c r="E345" i="63"/>
  <c r="B263" i="61"/>
  <c r="F345" i="63"/>
  <c r="A345" i="63"/>
  <c r="AP100" i="47"/>
  <c r="A13" i="63"/>
  <c r="B30" i="61"/>
  <c r="F13" i="63"/>
  <c r="E13" i="63"/>
  <c r="AO17" i="47"/>
  <c r="E437" i="63"/>
  <c r="A437" i="63"/>
  <c r="F437" i="63"/>
  <c r="AQ29" i="47"/>
  <c r="B80" i="61"/>
  <c r="F10" i="63"/>
  <c r="A10" i="63"/>
  <c r="E10" i="63"/>
  <c r="B22" i="61"/>
  <c r="AO15" i="47"/>
  <c r="F170" i="63"/>
  <c r="B437" i="61"/>
  <c r="A170" i="63"/>
  <c r="AN78" i="47"/>
  <c r="A40" i="63"/>
  <c r="AN30" i="47"/>
  <c r="B81" i="61"/>
  <c r="F40" i="63"/>
  <c r="F252" i="63"/>
  <c r="E252" i="63"/>
  <c r="B442" i="61"/>
  <c r="A252" i="63"/>
  <c r="AO74" i="47"/>
  <c r="E215" i="63"/>
  <c r="AO107" i="47"/>
  <c r="A215" i="63"/>
  <c r="F215" i="63"/>
  <c r="B294" i="61"/>
  <c r="AN135" i="47"/>
  <c r="A137" i="63"/>
  <c r="F137" i="63"/>
  <c r="B305" i="61"/>
  <c r="AP89" i="47"/>
  <c r="B431" i="61"/>
  <c r="E387" i="63"/>
  <c r="F387" i="63"/>
  <c r="A387" i="63"/>
  <c r="AN136" i="47"/>
  <c r="F128" i="63"/>
  <c r="B269" i="61"/>
  <c r="A128" i="63"/>
  <c r="F470" i="63"/>
  <c r="AQ62" i="47"/>
  <c r="A470" i="63"/>
  <c r="E470" i="63"/>
  <c r="B212" i="61"/>
  <c r="E305" i="63"/>
  <c r="F305" i="63"/>
  <c r="B103" i="61"/>
  <c r="A305" i="63"/>
  <c r="AP35" i="47"/>
  <c r="F107" i="63"/>
  <c r="A107" i="63"/>
  <c r="B225" i="61"/>
  <c r="AN66" i="47"/>
  <c r="AP85" i="47"/>
  <c r="E398" i="63"/>
  <c r="A398" i="63"/>
  <c r="F398" i="63"/>
  <c r="B475" i="61"/>
  <c r="F61" i="63"/>
  <c r="AN29" i="47"/>
  <c r="A61" i="63"/>
  <c r="B77" i="61"/>
  <c r="B179" i="61"/>
  <c r="E324" i="63"/>
  <c r="AP55" i="47"/>
  <c r="A324" i="63"/>
  <c r="F324" i="63"/>
  <c r="N142" i="47"/>
  <c r="F193" i="63" s="1"/>
  <c r="A193" i="63"/>
  <c r="K142" i="47"/>
  <c r="C193" i="63" s="1"/>
  <c r="AN142" i="47"/>
  <c r="M142" i="47"/>
  <c r="Q140" i="47"/>
  <c r="C272" i="63" s="1"/>
  <c r="S140" i="47"/>
  <c r="E272" i="63" s="1"/>
  <c r="T140" i="47"/>
  <c r="F272" i="63" s="1"/>
  <c r="AO140" i="47"/>
  <c r="A272" i="63"/>
  <c r="AO39" i="47"/>
  <c r="A60" i="63"/>
  <c r="F60" i="63"/>
  <c r="B118" i="61"/>
  <c r="E60" i="63"/>
  <c r="B209" i="61"/>
  <c r="A87" i="63"/>
  <c r="F87" i="63"/>
  <c r="AN62" i="47"/>
  <c r="B199" i="61"/>
  <c r="F329" i="63"/>
  <c r="E329" i="63"/>
  <c r="A329" i="63"/>
  <c r="AP60" i="47"/>
  <c r="E229" i="63"/>
  <c r="F229" i="63"/>
  <c r="AO76" i="47"/>
  <c r="A229" i="63"/>
  <c r="B350" i="61"/>
  <c r="B352" i="61"/>
  <c r="F505" i="63"/>
  <c r="E505" i="63"/>
  <c r="A505" i="63"/>
  <c r="AQ76" i="47"/>
  <c r="B301" i="61"/>
  <c r="A136" i="63"/>
  <c r="F136" i="63"/>
  <c r="AN118" i="47"/>
  <c r="E17" i="63"/>
  <c r="AO11" i="47"/>
  <c r="A17" i="63"/>
  <c r="B6" i="61"/>
  <c r="F17" i="63"/>
  <c r="A232" i="63"/>
  <c r="AO114" i="47"/>
  <c r="B362" i="61"/>
  <c r="F232" i="63"/>
  <c r="E232" i="63"/>
  <c r="B34" i="61"/>
  <c r="F27" i="63"/>
  <c r="A27" i="63"/>
  <c r="E27" i="63"/>
  <c r="AO18" i="47"/>
  <c r="F295" i="63"/>
  <c r="A295" i="63"/>
  <c r="E295" i="63"/>
  <c r="B63" i="61"/>
  <c r="AP25" i="47"/>
  <c r="AP127" i="47"/>
  <c r="A362" i="63"/>
  <c r="E362" i="63"/>
  <c r="B331" i="61"/>
  <c r="F362" i="63"/>
  <c r="E369" i="63"/>
  <c r="A369" i="63"/>
  <c r="B359" i="61"/>
  <c r="F369" i="63"/>
  <c r="AP123" i="47"/>
  <c r="A142" i="63"/>
  <c r="B325" i="61"/>
  <c r="F142" i="63"/>
  <c r="AN129" i="47"/>
  <c r="E261" i="63"/>
  <c r="F261" i="63"/>
  <c r="AO137" i="47"/>
  <c r="B478" i="61"/>
  <c r="A261" i="63"/>
  <c r="B248" i="61"/>
  <c r="AQ71" i="47"/>
  <c r="E479" i="63"/>
  <c r="F479" i="63"/>
  <c r="A479" i="63"/>
  <c r="A149" i="63"/>
  <c r="F149" i="63"/>
  <c r="AN79" i="47"/>
  <c r="B353" i="61"/>
  <c r="F396" i="63"/>
  <c r="A396" i="63"/>
  <c r="AP113" i="47"/>
  <c r="E396" i="63"/>
  <c r="B467" i="61"/>
  <c r="AN25" i="47"/>
  <c r="A28" i="63"/>
  <c r="F28" i="63"/>
  <c r="B61" i="61"/>
  <c r="F145" i="63"/>
  <c r="B337" i="61"/>
  <c r="AN95" i="47"/>
  <c r="A145" i="63"/>
  <c r="B452" i="61"/>
  <c r="AQ82" i="47"/>
  <c r="E530" i="63"/>
  <c r="F530" i="63"/>
  <c r="A530" i="63"/>
  <c r="E245" i="63"/>
  <c r="A245" i="63"/>
  <c r="F245" i="63"/>
  <c r="AO84" i="47"/>
  <c r="B414" i="61"/>
  <c r="E102" i="63"/>
  <c r="A102" i="63"/>
  <c r="F102" i="63"/>
  <c r="B202" i="61"/>
  <c r="AO51" i="47"/>
  <c r="F144" i="63"/>
  <c r="B333" i="61"/>
  <c r="A144" i="63"/>
  <c r="AN134" i="47"/>
  <c r="AO26" i="47"/>
  <c r="B66" i="61"/>
  <c r="A96" i="63"/>
  <c r="E96" i="63"/>
  <c r="F96" i="63"/>
  <c r="E330" i="63"/>
  <c r="F330" i="63"/>
  <c r="A330" i="63"/>
  <c r="AP51" i="47"/>
  <c r="B203" i="61"/>
  <c r="F99" i="63"/>
  <c r="AO61" i="47"/>
  <c r="A99" i="63"/>
  <c r="E99" i="63"/>
  <c r="B206" i="61"/>
  <c r="B258" i="61"/>
  <c r="E206" i="63"/>
  <c r="F206" i="63"/>
  <c r="AO125" i="47"/>
  <c r="A206" i="63"/>
  <c r="A342" i="63"/>
  <c r="AP72" i="47"/>
  <c r="E342" i="63"/>
  <c r="F342" i="63"/>
  <c r="B251" i="61"/>
  <c r="B345" i="61"/>
  <c r="F147" i="63"/>
  <c r="A147" i="63"/>
  <c r="AN87" i="47"/>
  <c r="AP112" i="47"/>
  <c r="F354" i="63"/>
  <c r="E354" i="63"/>
  <c r="A354" i="63"/>
  <c r="B299" i="61"/>
  <c r="Z147" i="47"/>
  <c r="F417" i="63" s="1"/>
  <c r="Y147" i="47"/>
  <c r="E417" i="63" s="1"/>
  <c r="A417" i="63"/>
  <c r="W147" i="47"/>
  <c r="C417" i="63" s="1"/>
  <c r="AP147" i="47"/>
  <c r="A197" i="63"/>
  <c r="K146" i="47"/>
  <c r="C197" i="63" s="1"/>
  <c r="AN146" i="47"/>
  <c r="N146" i="47"/>
  <c r="F197" i="63" s="1"/>
  <c r="M146" i="47"/>
  <c r="T148" i="47"/>
  <c r="F280" i="63" s="1"/>
  <c r="Q148" i="47"/>
  <c r="C280" i="63" s="1"/>
  <c r="S148" i="47"/>
  <c r="E280" i="63" s="1"/>
  <c r="A280" i="63"/>
  <c r="AO148" i="47"/>
  <c r="F382" i="63"/>
  <c r="B411" i="61"/>
  <c r="A382" i="63"/>
  <c r="E382" i="63"/>
  <c r="AP104" i="47"/>
  <c r="F492" i="63"/>
  <c r="B300" i="61"/>
  <c r="E492" i="63"/>
  <c r="AQ112" i="47"/>
  <c r="A492" i="63"/>
  <c r="B443" i="61"/>
  <c r="F390" i="63"/>
  <c r="E390" i="63"/>
  <c r="A390" i="63"/>
  <c r="AP74" i="47"/>
  <c r="A340" i="63"/>
  <c r="F340" i="63"/>
  <c r="AP70" i="47"/>
  <c r="E340" i="63"/>
  <c r="B243" i="61"/>
  <c r="E327" i="63"/>
  <c r="F327" i="63"/>
  <c r="B191" i="61"/>
  <c r="AP58" i="47"/>
  <c r="A327" i="63"/>
  <c r="F210" i="63"/>
  <c r="AO77" i="47"/>
  <c r="B274" i="61"/>
  <c r="E210" i="63"/>
  <c r="A210" i="63"/>
  <c r="F152" i="63"/>
  <c r="A152" i="63"/>
  <c r="AN99" i="47"/>
  <c r="B365" i="61"/>
  <c r="F537" i="63"/>
  <c r="B480" i="61"/>
  <c r="E537" i="63"/>
  <c r="AQ137" i="47"/>
  <c r="A537" i="63"/>
  <c r="B463" i="61"/>
  <c r="AP108" i="47"/>
  <c r="F395" i="63"/>
  <c r="E395" i="63"/>
  <c r="A395" i="63"/>
  <c r="AP50" i="47"/>
  <c r="F320" i="63"/>
  <c r="A320" i="63"/>
  <c r="E320" i="63"/>
  <c r="B163" i="61"/>
  <c r="A177" i="63"/>
  <c r="B465" i="61"/>
  <c r="AN113" i="47"/>
  <c r="F177" i="63"/>
  <c r="F119" i="63"/>
  <c r="AO68" i="47"/>
  <c r="E119" i="63"/>
  <c r="B234" i="61"/>
  <c r="A119" i="63"/>
  <c r="E351" i="63"/>
  <c r="F351" i="63"/>
  <c r="A351" i="63"/>
  <c r="B287" i="61"/>
  <c r="AP83" i="47"/>
  <c r="B348" i="61"/>
  <c r="F504" i="63"/>
  <c r="A504" i="63"/>
  <c r="AQ87" i="47"/>
  <c r="E504" i="63"/>
  <c r="B88" i="61"/>
  <c r="E439" i="63"/>
  <c r="A439" i="63"/>
  <c r="F439" i="63"/>
  <c r="AQ31" i="47"/>
  <c r="E82" i="63"/>
  <c r="B142" i="61"/>
  <c r="AO45" i="47"/>
  <c r="A82" i="63"/>
  <c r="F82" i="63"/>
  <c r="A523" i="63"/>
  <c r="E523" i="63"/>
  <c r="B424" i="61"/>
  <c r="AQ131" i="47"/>
  <c r="F523" i="63"/>
  <c r="AO89" i="47"/>
  <c r="A249" i="63"/>
  <c r="B430" i="61"/>
  <c r="F249" i="63"/>
  <c r="E249" i="63"/>
  <c r="AQ105" i="47"/>
  <c r="B392" i="61"/>
  <c r="E515" i="63"/>
  <c r="A515" i="63"/>
  <c r="F515" i="63"/>
  <c r="E476" i="63"/>
  <c r="B236" i="61"/>
  <c r="A476" i="63"/>
  <c r="AQ68" i="47"/>
  <c r="F476" i="63"/>
  <c r="A224" i="63"/>
  <c r="B330" i="61"/>
  <c r="E224" i="63"/>
  <c r="F224" i="63"/>
  <c r="AO127" i="47"/>
  <c r="E442" i="63"/>
  <c r="AQ34" i="47"/>
  <c r="F442" i="63"/>
  <c r="A442" i="63"/>
  <c r="B100" i="61"/>
  <c r="E332" i="63"/>
  <c r="F332" i="63"/>
  <c r="B211" i="61"/>
  <c r="A332" i="63"/>
  <c r="AP62" i="47"/>
  <c r="AO62" i="47"/>
  <c r="A116" i="63"/>
  <c r="F116" i="63"/>
  <c r="B210" i="61"/>
  <c r="E116" i="63"/>
  <c r="F540" i="63"/>
  <c r="A540" i="63"/>
  <c r="B492" i="61"/>
  <c r="AQ132" i="47"/>
  <c r="E540" i="63"/>
  <c r="AN32" i="47"/>
  <c r="B89" i="61"/>
  <c r="A44" i="63"/>
  <c r="F44" i="63"/>
  <c r="F57" i="63"/>
  <c r="AN33" i="47"/>
  <c r="A57" i="63"/>
  <c r="B93" i="61"/>
  <c r="B433" i="61"/>
  <c r="F169" i="63"/>
  <c r="AN86" i="47"/>
  <c r="A169" i="63"/>
  <c r="AQ77" i="47"/>
  <c r="F486" i="63"/>
  <c r="B276" i="61"/>
  <c r="A486" i="63"/>
  <c r="E486" i="63"/>
  <c r="F472" i="63"/>
  <c r="E472" i="63"/>
  <c r="AQ64" i="47"/>
  <c r="B220" i="61"/>
  <c r="A472" i="63"/>
  <c r="F283" i="63"/>
  <c r="AP13" i="47"/>
  <c r="B15" i="61"/>
  <c r="A283" i="63"/>
  <c r="E283" i="63"/>
  <c r="A236" i="63"/>
  <c r="AO106" i="47"/>
  <c r="E236" i="63"/>
  <c r="F236" i="63"/>
  <c r="B378" i="61"/>
  <c r="F302" i="63"/>
  <c r="B91" i="61"/>
  <c r="E302" i="63"/>
  <c r="AP32" i="47"/>
  <c r="A302" i="63"/>
  <c r="A407" i="63"/>
  <c r="B511" i="61"/>
  <c r="E407" i="63"/>
  <c r="F407" i="63"/>
  <c r="AP133" i="47"/>
  <c r="AQ116" i="47"/>
  <c r="F503" i="63"/>
  <c r="A503" i="63"/>
  <c r="E503" i="63"/>
  <c r="B344" i="61"/>
  <c r="B153" i="61"/>
  <c r="F81" i="63"/>
  <c r="AN48" i="47"/>
  <c r="A81" i="63"/>
  <c r="A460" i="63"/>
  <c r="AQ53" i="47"/>
  <c r="E460" i="63"/>
  <c r="F460" i="63"/>
  <c r="B172" i="61"/>
  <c r="E468" i="63"/>
  <c r="F468" i="63"/>
  <c r="B204" i="61"/>
  <c r="A468" i="63"/>
  <c r="AQ51" i="47"/>
  <c r="AO102" i="47"/>
  <c r="B498" i="61"/>
  <c r="F266" i="63"/>
  <c r="E266" i="63"/>
  <c r="A266" i="63"/>
  <c r="F155" i="63"/>
  <c r="A155" i="63"/>
  <c r="B377" i="61"/>
  <c r="AN106" i="47"/>
  <c r="A352" i="63"/>
  <c r="AP97" i="47"/>
  <c r="F352" i="63"/>
  <c r="E352" i="63"/>
  <c r="B291" i="61"/>
  <c r="A26" i="63"/>
  <c r="F26" i="63"/>
  <c r="AN19" i="47"/>
  <c r="B37" i="61"/>
  <c r="E481" i="63"/>
  <c r="AQ73" i="47"/>
  <c r="A481" i="63"/>
  <c r="B256" i="61"/>
  <c r="F481" i="63"/>
  <c r="F309" i="63"/>
  <c r="E309" i="63"/>
  <c r="B119" i="61"/>
  <c r="AP39" i="47"/>
  <c r="A309" i="63"/>
  <c r="F225" i="63"/>
  <c r="AO134" i="47"/>
  <c r="A225" i="63"/>
  <c r="E225" i="63"/>
  <c r="B334" i="61"/>
  <c r="B246" i="61"/>
  <c r="E118" i="63"/>
  <c r="F118" i="63"/>
  <c r="AO71" i="47"/>
  <c r="A118" i="63"/>
  <c r="B106" i="61"/>
  <c r="A56" i="63"/>
  <c r="F56" i="63"/>
  <c r="AO36" i="47"/>
  <c r="E56" i="63"/>
  <c r="A350" i="63"/>
  <c r="F350" i="63"/>
  <c r="E350" i="63"/>
  <c r="B283" i="61"/>
  <c r="AP128" i="47"/>
  <c r="A466" i="63"/>
  <c r="AQ59" i="47"/>
  <c r="F466" i="63"/>
  <c r="E466" i="63"/>
  <c r="B196" i="61"/>
  <c r="AN107" i="47"/>
  <c r="B293" i="61"/>
  <c r="A134" i="63"/>
  <c r="F134" i="63"/>
  <c r="F88" i="63"/>
  <c r="B189" i="61"/>
  <c r="A88" i="63"/>
  <c r="AN58" i="47"/>
  <c r="A104" i="63"/>
  <c r="E104" i="63"/>
  <c r="F104" i="63"/>
  <c r="B178" i="61"/>
  <c r="AO55" i="47"/>
  <c r="AO31" i="47"/>
  <c r="F23" i="63"/>
  <c r="A23" i="63"/>
  <c r="E23" i="63"/>
  <c r="B86" i="61"/>
  <c r="E500" i="63"/>
  <c r="A500" i="63"/>
  <c r="AQ127" i="47"/>
  <c r="F500" i="63"/>
  <c r="B332" i="61"/>
  <c r="AQ107" i="47"/>
  <c r="E491" i="63"/>
  <c r="F491" i="63"/>
  <c r="A491" i="63"/>
  <c r="B296" i="61"/>
  <c r="AO136" i="47"/>
  <c r="F209" i="63"/>
  <c r="A209" i="63"/>
  <c r="E209" i="63"/>
  <c r="B270" i="61"/>
  <c r="W140" i="47"/>
  <c r="C410" i="63" s="1"/>
  <c r="AP140" i="47"/>
  <c r="Y140" i="47"/>
  <c r="E410" i="63" s="1"/>
  <c r="Z140" i="47"/>
  <c r="F410" i="63" s="1"/>
  <c r="A410" i="63"/>
  <c r="E267" i="63"/>
  <c r="A267" i="63"/>
  <c r="B502" i="61"/>
  <c r="AO98" i="47"/>
  <c r="F267" i="63"/>
  <c r="AN45" i="47"/>
  <c r="F68" i="63"/>
  <c r="B141" i="61"/>
  <c r="A68" i="63"/>
  <c r="B235" i="61"/>
  <c r="E338" i="63"/>
  <c r="A338" i="63"/>
  <c r="F338" i="63"/>
  <c r="AP68" i="47"/>
  <c r="B268" i="61"/>
  <c r="E484" i="63"/>
  <c r="F484" i="63"/>
  <c r="AQ88" i="47"/>
  <c r="A484" i="63"/>
  <c r="A554" i="63"/>
  <c r="AF146" i="47"/>
  <c r="F554" i="63" s="1"/>
  <c r="AC146" i="47"/>
  <c r="C554" i="63" s="1"/>
  <c r="AE146" i="47"/>
  <c r="E554" i="63" s="1"/>
  <c r="AB146" i="47"/>
  <c r="B554" i="63" s="1"/>
  <c r="AD146" i="47"/>
  <c r="D554" i="63" s="1"/>
  <c r="AQ146" i="47"/>
  <c r="A39" i="63"/>
  <c r="F39" i="63"/>
  <c r="AO33" i="47"/>
  <c r="B94" i="61"/>
  <c r="E39" i="63"/>
  <c r="AP73" i="47"/>
  <c r="B255" i="61"/>
  <c r="F343" i="63"/>
  <c r="E343" i="63"/>
  <c r="A343" i="63"/>
  <c r="AN80" i="47"/>
  <c r="F172" i="63"/>
  <c r="B445" i="61"/>
  <c r="A172" i="63"/>
  <c r="A522" i="63"/>
  <c r="F522" i="63"/>
  <c r="B420" i="61"/>
  <c r="E522" i="63"/>
  <c r="AQ115" i="47"/>
  <c r="AF143" i="47"/>
  <c r="F551" i="63" s="1"/>
  <c r="A551" i="63"/>
  <c r="AD143" i="47"/>
  <c r="D551" i="63" s="1"/>
  <c r="AQ143" i="47"/>
  <c r="AB143" i="47"/>
  <c r="B551" i="63" s="1"/>
  <c r="AE143" i="47"/>
  <c r="E551" i="63" s="1"/>
  <c r="AC143" i="47"/>
  <c r="C551" i="63" s="1"/>
  <c r="B489" i="61"/>
  <c r="AN132" i="47"/>
  <c r="F183" i="63"/>
  <c r="A183" i="63"/>
  <c r="B316" i="61"/>
  <c r="AQ75" i="47"/>
  <c r="F496" i="63"/>
  <c r="E496" i="63"/>
  <c r="A496" i="63"/>
  <c r="E70" i="63"/>
  <c r="B150" i="61"/>
  <c r="F70" i="63"/>
  <c r="AO47" i="47"/>
  <c r="A70" i="63"/>
  <c r="B408" i="61"/>
  <c r="F519" i="63"/>
  <c r="A519" i="63"/>
  <c r="AQ110" i="47"/>
  <c r="E519" i="63"/>
  <c r="S145" i="47"/>
  <c r="E277" i="63" s="1"/>
  <c r="A277" i="63"/>
  <c r="Q145" i="47"/>
  <c r="C277" i="63" s="1"/>
  <c r="T145" i="47"/>
  <c r="F277" i="63" s="1"/>
  <c r="AO145" i="47"/>
  <c r="B240" i="61"/>
  <c r="F477" i="63"/>
  <c r="AQ69" i="47"/>
  <c r="E477" i="63"/>
  <c r="A477" i="63"/>
  <c r="E318" i="63"/>
  <c r="F318" i="63"/>
  <c r="A318" i="63"/>
  <c r="AP48" i="47"/>
  <c r="B155" i="61"/>
  <c r="AN117" i="47"/>
  <c r="B381" i="61"/>
  <c r="F156" i="63"/>
  <c r="A156" i="63"/>
  <c r="N148" i="47"/>
  <c r="F199" i="63" s="1"/>
  <c r="M148" i="47"/>
  <c r="K148" i="47"/>
  <c r="C199" i="63" s="1"/>
  <c r="AN148" i="47"/>
  <c r="A199" i="63"/>
  <c r="A133" i="63"/>
  <c r="F133" i="63"/>
  <c r="B289" i="61"/>
  <c r="AN97" i="47"/>
  <c r="B391" i="61"/>
  <c r="AP105" i="47"/>
  <c r="A377" i="63"/>
  <c r="F377" i="63"/>
  <c r="E377" i="63"/>
  <c r="AD145" i="47"/>
  <c r="D553" i="63" s="1"/>
  <c r="AB145" i="47"/>
  <c r="B553" i="63" s="1"/>
  <c r="AC145" i="47"/>
  <c r="C553" i="63" s="1"/>
  <c r="A553" i="63"/>
  <c r="AF145" i="47"/>
  <c r="F553" i="63" s="1"/>
  <c r="AQ145" i="47"/>
  <c r="AE145" i="47"/>
  <c r="E553" i="63" s="1"/>
  <c r="A75" i="63"/>
  <c r="E75" i="63"/>
  <c r="F75" i="63"/>
  <c r="B162" i="61"/>
  <c r="AO50" i="47"/>
  <c r="E52" i="63"/>
  <c r="AO43" i="47"/>
  <c r="F52" i="63"/>
  <c r="A52" i="63"/>
  <c r="B134" i="61"/>
  <c r="A207" i="63"/>
  <c r="F207" i="63"/>
  <c r="AO100" i="47"/>
  <c r="E207" i="63"/>
  <c r="B262" i="61"/>
  <c r="B306" i="61"/>
  <c r="A218" i="63"/>
  <c r="F218" i="63"/>
  <c r="E218" i="63"/>
  <c r="AO135" i="47"/>
  <c r="A453" i="63"/>
  <c r="E453" i="63"/>
  <c r="F453" i="63"/>
  <c r="AQ45" i="47"/>
  <c r="B144" i="61"/>
  <c r="A62" i="63"/>
  <c r="AN35" i="47"/>
  <c r="F62" i="63"/>
  <c r="B101" i="61"/>
  <c r="AC142" i="47"/>
  <c r="C550" i="63" s="1"/>
  <c r="AE142" i="47"/>
  <c r="E550" i="63" s="1"/>
  <c r="AD142" i="47"/>
  <c r="D550" i="63" s="1"/>
  <c r="AF142" i="47"/>
  <c r="F550" i="63" s="1"/>
  <c r="AQ142" i="47"/>
  <c r="AB142" i="47"/>
  <c r="B550" i="63" s="1"/>
  <c r="A550" i="63"/>
  <c r="B20" i="61"/>
  <c r="AQ14" i="47"/>
  <c r="F422" i="63"/>
  <c r="E422" i="63"/>
  <c r="A422" i="63"/>
  <c r="A533" i="63"/>
  <c r="E533" i="63"/>
  <c r="B464" i="61"/>
  <c r="F533" i="63"/>
  <c r="AQ108" i="47"/>
  <c r="A509" i="63"/>
  <c r="F509" i="63"/>
  <c r="E509" i="63"/>
  <c r="B368" i="61"/>
  <c r="AQ99" i="47"/>
  <c r="AP103" i="47"/>
  <c r="A378" i="63"/>
  <c r="E378" i="63"/>
  <c r="B395" i="61"/>
  <c r="F378" i="63"/>
  <c r="AD141" i="47"/>
  <c r="D549" i="63" s="1"/>
  <c r="AE141" i="47"/>
  <c r="E549" i="63" s="1"/>
  <c r="AC141" i="47"/>
  <c r="C549" i="63" s="1"/>
  <c r="AB141" i="47"/>
  <c r="B549" i="63" s="1"/>
  <c r="AQ141" i="47"/>
  <c r="AF141" i="47"/>
  <c r="F549" i="63" s="1"/>
  <c r="A549" i="63"/>
  <c r="F383" i="63"/>
  <c r="B415" i="61"/>
  <c r="E383" i="63"/>
  <c r="AP84" i="47"/>
  <c r="A383" i="63"/>
  <c r="F127" i="63"/>
  <c r="B265" i="61"/>
  <c r="AN88" i="47"/>
  <c r="A127" i="63"/>
  <c r="E15" i="63"/>
  <c r="A15" i="63"/>
  <c r="F15" i="63"/>
  <c r="B14" i="61"/>
  <c r="AO13" i="47"/>
  <c r="B393" i="61"/>
  <c r="F159" i="63"/>
  <c r="AN103" i="47"/>
  <c r="A159" i="63"/>
  <c r="E355" i="63"/>
  <c r="F355" i="63"/>
  <c r="AP118" i="47"/>
  <c r="B303" i="61"/>
  <c r="A355" i="63"/>
  <c r="E308" i="63"/>
  <c r="F308" i="63"/>
  <c r="B115" i="61"/>
  <c r="AP38" i="47"/>
  <c r="A308" i="63"/>
  <c r="B83" i="61"/>
  <c r="F300" i="63"/>
  <c r="AP30" i="47"/>
  <c r="E300" i="63"/>
  <c r="A300" i="63"/>
  <c r="A234" i="63"/>
  <c r="AO120" i="47"/>
  <c r="E234" i="63"/>
  <c r="F234" i="63"/>
  <c r="B370" i="61"/>
  <c r="AN121" i="47"/>
  <c r="F160" i="63"/>
  <c r="B397" i="61"/>
  <c r="A160" i="63"/>
  <c r="F485" i="63"/>
  <c r="E485" i="63"/>
  <c r="B272" i="61"/>
  <c r="AQ136" i="47"/>
  <c r="A485" i="63"/>
  <c r="AO65" i="47"/>
  <c r="A202" i="63"/>
  <c r="E202" i="63"/>
  <c r="F202" i="63"/>
  <c r="B222" i="61"/>
  <c r="AP53" i="47"/>
  <c r="F322" i="63"/>
  <c r="E322" i="63"/>
  <c r="B171" i="61"/>
  <c r="A322" i="63"/>
  <c r="A184" i="63"/>
  <c r="B493" i="61"/>
  <c r="F184" i="63"/>
  <c r="AN111" i="47"/>
  <c r="AN116" i="47"/>
  <c r="B341" i="61"/>
  <c r="F146" i="63"/>
  <c r="A146" i="63"/>
  <c r="F216" i="63"/>
  <c r="AO112" i="47"/>
  <c r="E216" i="63"/>
  <c r="A216" i="63"/>
  <c r="B298" i="61"/>
  <c r="A431" i="63"/>
  <c r="F431" i="63"/>
  <c r="AQ23" i="47"/>
  <c r="E431" i="63"/>
  <c r="B56" i="61"/>
  <c r="AN31" i="47"/>
  <c r="A76" i="63"/>
  <c r="F76" i="63"/>
  <c r="B85" i="61"/>
  <c r="A462" i="63"/>
  <c r="E462" i="63"/>
  <c r="F462" i="63"/>
  <c r="AQ55" i="47"/>
  <c r="B180" i="61"/>
  <c r="AN37" i="47"/>
  <c r="F54" i="63"/>
  <c r="A54" i="63"/>
  <c r="B109" i="61"/>
  <c r="AN124" i="47"/>
  <c r="F140" i="63"/>
  <c r="A140" i="63"/>
  <c r="B317" i="61"/>
  <c r="E489" i="63"/>
  <c r="A489" i="63"/>
  <c r="AQ83" i="47"/>
  <c r="F489" i="63"/>
  <c r="B288" i="61"/>
  <c r="A254" i="63"/>
  <c r="B450" i="61"/>
  <c r="E254" i="63"/>
  <c r="F254" i="63"/>
  <c r="AO82" i="47"/>
  <c r="A552" i="63"/>
  <c r="AB144" i="47"/>
  <c r="B552" i="63" s="1"/>
  <c r="AE144" i="47"/>
  <c r="E552" i="63" s="1"/>
  <c r="AC144" i="47"/>
  <c r="C552" i="63" s="1"/>
  <c r="AD144" i="47"/>
  <c r="D552" i="63" s="1"/>
  <c r="AF144" i="47"/>
  <c r="F552" i="63" s="1"/>
  <c r="AQ144" i="47"/>
  <c r="E436" i="63"/>
  <c r="B76" i="61"/>
  <c r="F436" i="63"/>
  <c r="AQ28" i="47"/>
  <c r="A436" i="63"/>
  <c r="F157" i="63"/>
  <c r="A157" i="63"/>
  <c r="AN119" i="47"/>
  <c r="B385" i="61"/>
  <c r="F59" i="63"/>
  <c r="E59" i="63"/>
  <c r="B186" i="61"/>
  <c r="AO57" i="47"/>
  <c r="A59" i="63"/>
  <c r="A297" i="63"/>
  <c r="F297" i="63"/>
  <c r="AP27" i="47"/>
  <c r="B71" i="61"/>
  <c r="E297" i="63"/>
  <c r="B426" i="61"/>
  <c r="A248" i="63"/>
  <c r="F248" i="63"/>
  <c r="E248" i="63"/>
  <c r="AO109" i="47"/>
  <c r="B79" i="61"/>
  <c r="E299" i="63"/>
  <c r="A299" i="63"/>
  <c r="F299" i="63"/>
  <c r="AP29" i="47"/>
  <c r="AN46" i="47"/>
  <c r="A47" i="63"/>
  <c r="B145" i="61"/>
  <c r="F47" i="63"/>
  <c r="B185" i="61"/>
  <c r="F115" i="63"/>
  <c r="AN57" i="47"/>
  <c r="A115" i="63"/>
  <c r="F89" i="63"/>
  <c r="B133" i="61"/>
  <c r="A89" i="63"/>
  <c r="AN43" i="47"/>
  <c r="B387" i="61"/>
  <c r="F376" i="63"/>
  <c r="E376" i="63"/>
  <c r="A376" i="63"/>
  <c r="AP119" i="47"/>
  <c r="E238" i="63"/>
  <c r="B386" i="61"/>
  <c r="F238" i="63"/>
  <c r="A238" i="63"/>
  <c r="AO119" i="47"/>
  <c r="AQ20" i="47"/>
  <c r="E428" i="63"/>
  <c r="B44" i="61"/>
  <c r="A428" i="63"/>
  <c r="F428" i="63"/>
  <c r="A547" i="63"/>
  <c r="AB139" i="47"/>
  <c r="B547" i="63" s="1"/>
  <c r="AF139" i="47"/>
  <c r="F547" i="63" s="1"/>
  <c r="AQ139" i="47"/>
  <c r="AD139" i="47"/>
  <c r="D547" i="63" s="1"/>
  <c r="AE139" i="47"/>
  <c r="E547" i="63" s="1"/>
  <c r="AC139" i="47"/>
  <c r="C547" i="63" s="1"/>
  <c r="A211" i="63"/>
  <c r="E211" i="63"/>
  <c r="F211" i="63"/>
  <c r="AO122" i="47"/>
  <c r="B278" i="61"/>
  <c r="E221" i="63"/>
  <c r="AO124" i="47"/>
  <c r="B318" i="61"/>
  <c r="A221" i="63"/>
  <c r="F221" i="63"/>
  <c r="E65" i="63"/>
  <c r="AO41" i="47"/>
  <c r="B126" i="61"/>
  <c r="F65" i="63"/>
  <c r="A65" i="63"/>
  <c r="E366" i="63"/>
  <c r="B347" i="61"/>
  <c r="F366" i="63"/>
  <c r="A366" i="63"/>
  <c r="AP87" i="47"/>
  <c r="B477" i="61"/>
  <c r="A180" i="63"/>
  <c r="AN137" i="47"/>
  <c r="AR137" i="47" s="1"/>
  <c r="F180" i="63"/>
  <c r="B328" i="61"/>
  <c r="AQ129" i="47"/>
  <c r="E499" i="63"/>
  <c r="F499" i="63"/>
  <c r="A499" i="63"/>
  <c r="AP122" i="47"/>
  <c r="A349" i="63"/>
  <c r="E349" i="63"/>
  <c r="F349" i="63"/>
  <c r="B279" i="61"/>
  <c r="F53" i="63"/>
  <c r="A53" i="63"/>
  <c r="AN34" i="47"/>
  <c r="B97" i="61"/>
  <c r="AO79" i="47"/>
  <c r="A230" i="63"/>
  <c r="E230" i="63"/>
  <c r="F230" i="63"/>
  <c r="B354" i="61"/>
  <c r="AO99" i="47"/>
  <c r="A233" i="63"/>
  <c r="F233" i="63"/>
  <c r="E233" i="63"/>
  <c r="B366" i="61"/>
  <c r="B167" i="61"/>
  <c r="AP52" i="47"/>
  <c r="F321" i="63"/>
  <c r="E321" i="63"/>
  <c r="A321" i="63"/>
  <c r="AP114" i="47"/>
  <c r="F370" i="63"/>
  <c r="B363" i="61"/>
  <c r="E370" i="63"/>
  <c r="A370" i="63"/>
  <c r="A37" i="63"/>
  <c r="B25" i="61"/>
  <c r="F37" i="63"/>
  <c r="AN16" i="47"/>
  <c r="Q139" i="47"/>
  <c r="C271" i="63" s="1"/>
  <c r="AO139" i="47"/>
  <c r="T139" i="47"/>
  <c r="F271" i="63" s="1"/>
  <c r="S139" i="47"/>
  <c r="E271" i="63" s="1"/>
  <c r="A271" i="63"/>
  <c r="AO27" i="47"/>
  <c r="A24" i="63"/>
  <c r="F24" i="63"/>
  <c r="E24" i="63"/>
  <c r="B70" i="61"/>
  <c r="AO80" i="47"/>
  <c r="F253" i="63"/>
  <c r="A253" i="63"/>
  <c r="E253" i="63"/>
  <c r="B446" i="61"/>
  <c r="E461" i="63"/>
  <c r="AQ54" i="47"/>
  <c r="F461" i="63"/>
  <c r="A461" i="63"/>
  <c r="B176" i="61"/>
  <c r="A483" i="63"/>
  <c r="AQ100" i="47"/>
  <c r="F483" i="63"/>
  <c r="E483" i="63"/>
  <c r="B264" i="61"/>
  <c r="AP111" i="47"/>
  <c r="A403" i="63"/>
  <c r="F403" i="63"/>
  <c r="E403" i="63"/>
  <c r="B495" i="61"/>
  <c r="AN49" i="47"/>
  <c r="B157" i="61"/>
  <c r="A124" i="63"/>
  <c r="F124" i="63"/>
  <c r="A86" i="63"/>
  <c r="F86" i="63"/>
  <c r="B174" i="61"/>
  <c r="E86" i="63"/>
  <c r="AO54" i="47"/>
  <c r="B320" i="61"/>
  <c r="E497" i="63"/>
  <c r="F497" i="63"/>
  <c r="A497" i="63"/>
  <c r="AQ124" i="47"/>
  <c r="F50" i="63"/>
  <c r="A50" i="63"/>
  <c r="AN36" i="47"/>
  <c r="B105" i="61"/>
  <c r="B360" i="61"/>
  <c r="F507" i="63"/>
  <c r="A507" i="63"/>
  <c r="E507" i="63"/>
  <c r="AQ123" i="47"/>
  <c r="E243" i="63"/>
  <c r="B406" i="61"/>
  <c r="A243" i="63"/>
  <c r="F243" i="63"/>
  <c r="AO110" i="47"/>
  <c r="F459" i="63"/>
  <c r="B168" i="61"/>
  <c r="E459" i="63"/>
  <c r="A459" i="63"/>
  <c r="AQ52" i="47"/>
  <c r="B90" i="61"/>
  <c r="AO32" i="47"/>
  <c r="A46" i="63"/>
  <c r="F46" i="63"/>
  <c r="E46" i="63"/>
  <c r="AN139" i="47"/>
  <c r="M139" i="47"/>
  <c r="K139" i="47"/>
  <c r="C190" i="63" s="1"/>
  <c r="N139" i="47"/>
  <c r="F190" i="63" s="1"/>
  <c r="A190" i="63"/>
  <c r="B402" i="61"/>
  <c r="E242" i="63"/>
  <c r="F242" i="63"/>
  <c r="A242" i="63"/>
  <c r="AO126" i="47"/>
  <c r="B72" i="61"/>
  <c r="AQ27" i="47"/>
  <c r="F435" i="63"/>
  <c r="E435" i="63"/>
  <c r="A435" i="63"/>
  <c r="E227" i="63"/>
  <c r="B342" i="61"/>
  <c r="F227" i="63"/>
  <c r="AO116" i="47"/>
  <c r="A227" i="63"/>
  <c r="A298" i="63"/>
  <c r="B75" i="61"/>
  <c r="E298" i="63"/>
  <c r="F298" i="63"/>
  <c r="AP28" i="47"/>
  <c r="E257" i="63"/>
  <c r="AO108" i="47"/>
  <c r="A257" i="63"/>
  <c r="F257" i="63"/>
  <c r="B462" i="61"/>
  <c r="F186" i="63"/>
  <c r="AN98" i="47"/>
  <c r="B501" i="61"/>
  <c r="A186" i="63"/>
  <c r="F506" i="63"/>
  <c r="A506" i="63"/>
  <c r="AQ79" i="47"/>
  <c r="E506" i="63"/>
  <c r="B356" i="61"/>
  <c r="AN96" i="47"/>
  <c r="AR96" i="47" s="1"/>
  <c r="A178" i="63"/>
  <c r="F178" i="63"/>
  <c r="B469" i="61"/>
  <c r="AF140" i="47"/>
  <c r="F548" i="63" s="1"/>
  <c r="AD140" i="47"/>
  <c r="D548" i="63" s="1"/>
  <c r="AQ140" i="47"/>
  <c r="AC140" i="47"/>
  <c r="C548" i="63" s="1"/>
  <c r="AB140" i="47"/>
  <c r="B548" i="63" s="1"/>
  <c r="AE140" i="47"/>
  <c r="E548" i="63" s="1"/>
  <c r="A548" i="63"/>
  <c r="E373" i="63"/>
  <c r="A373" i="63"/>
  <c r="F373" i="63"/>
  <c r="AP81" i="47"/>
  <c r="B375" i="61"/>
  <c r="A43" i="63"/>
  <c r="F43" i="63"/>
  <c r="B98" i="61"/>
  <c r="E43" i="63"/>
  <c r="AO34" i="47"/>
  <c r="T144" i="47"/>
  <c r="F276" i="63" s="1"/>
  <c r="S144" i="47"/>
  <c r="E276" i="63" s="1"/>
  <c r="AO144" i="47"/>
  <c r="Q144" i="47"/>
  <c r="C276" i="63" s="1"/>
  <c r="A276" i="63"/>
  <c r="B7" i="61"/>
  <c r="A281" i="63"/>
  <c r="E281" i="63"/>
  <c r="F281" i="63"/>
  <c r="AP11" i="47"/>
  <c r="AN112" i="47"/>
  <c r="A135" i="63"/>
  <c r="F135" i="63"/>
  <c r="B297" i="61"/>
  <c r="E401" i="63"/>
  <c r="F401" i="63"/>
  <c r="AP130" i="47"/>
  <c r="B487" i="61"/>
  <c r="A401" i="63"/>
  <c r="E220" i="63"/>
  <c r="A220" i="63"/>
  <c r="B314" i="61"/>
  <c r="F220" i="63"/>
  <c r="AO75" i="47"/>
  <c r="F268" i="63"/>
  <c r="A268" i="63"/>
  <c r="E268" i="63"/>
  <c r="AO92" i="47"/>
  <c r="B506" i="61"/>
  <c r="B67" i="61"/>
  <c r="F296" i="63"/>
  <c r="A296" i="63"/>
  <c r="E296" i="63"/>
  <c r="AP26" i="47"/>
  <c r="E513" i="63"/>
  <c r="A513" i="63"/>
  <c r="B384" i="61"/>
  <c r="F513" i="63"/>
  <c r="AQ117" i="47"/>
  <c r="Z141" i="47"/>
  <c r="F411" i="63" s="1"/>
  <c r="A411" i="63"/>
  <c r="Y141" i="47"/>
  <c r="E411" i="63" s="1"/>
  <c r="W141" i="47"/>
  <c r="C411" i="63" s="1"/>
  <c r="AP141" i="47"/>
  <c r="E469" i="63"/>
  <c r="B208" i="61"/>
  <c r="A469" i="63"/>
  <c r="F469" i="63"/>
  <c r="AQ61" i="47"/>
  <c r="Z148" i="47"/>
  <c r="F418" i="63" s="1"/>
  <c r="AP148" i="47"/>
  <c r="Y148" i="47"/>
  <c r="E418" i="63" s="1"/>
  <c r="W148" i="47"/>
  <c r="C418" i="63" s="1"/>
  <c r="A418" i="63"/>
  <c r="AN56" i="47"/>
  <c r="B181" i="61"/>
  <c r="F67" i="63"/>
  <c r="A67" i="63"/>
  <c r="B221" i="61"/>
  <c r="AN65" i="47"/>
  <c r="F90" i="63"/>
  <c r="A90" i="63"/>
  <c r="AN123" i="47"/>
  <c r="F150" i="63"/>
  <c r="B357" i="61"/>
  <c r="A150" i="63"/>
  <c r="F122" i="63"/>
  <c r="B245" i="61"/>
  <c r="AN71" i="47"/>
  <c r="A122" i="63"/>
  <c r="AQ120" i="47"/>
  <c r="F510" i="63"/>
  <c r="B372" i="61"/>
  <c r="A510" i="63"/>
  <c r="E510" i="63"/>
  <c r="F542" i="63"/>
  <c r="E542" i="63"/>
  <c r="AQ102" i="47"/>
  <c r="A542" i="63"/>
  <c r="B500" i="61"/>
  <c r="F64" i="63"/>
  <c r="A64" i="63"/>
  <c r="B121" i="61"/>
  <c r="AN40" i="47"/>
  <c r="E404" i="63"/>
  <c r="AP102" i="47"/>
  <c r="F404" i="63"/>
  <c r="B499" i="61"/>
  <c r="A404" i="63"/>
  <c r="K140" i="47"/>
  <c r="C191" i="63" s="1"/>
  <c r="N140" i="47"/>
  <c r="F191" i="63" s="1"/>
  <c r="AN140" i="47"/>
  <c r="M140" i="47"/>
  <c r="A191" i="63"/>
  <c r="E546" i="63"/>
  <c r="F546" i="63"/>
  <c r="AQ91" i="47"/>
  <c r="A546" i="63"/>
  <c r="B516" i="61"/>
  <c r="E464" i="63"/>
  <c r="B188" i="61"/>
  <c r="AQ57" i="47"/>
  <c r="F464" i="63"/>
  <c r="A464" i="63"/>
  <c r="AQ92" i="47"/>
  <c r="E544" i="63"/>
  <c r="B508" i="61"/>
  <c r="A544" i="63"/>
  <c r="F544" i="63"/>
  <c r="E41" i="63"/>
  <c r="B82" i="61"/>
  <c r="F41" i="63"/>
  <c r="AO30" i="47"/>
  <c r="A41" i="63"/>
  <c r="F106" i="63"/>
  <c r="A106" i="63"/>
  <c r="AN68" i="47"/>
  <c r="B233" i="61"/>
  <c r="A239" i="63"/>
  <c r="E239" i="63"/>
  <c r="F239" i="63"/>
  <c r="B390" i="61"/>
  <c r="AO105" i="47"/>
  <c r="E25" i="63"/>
  <c r="B46" i="61"/>
  <c r="A25" i="63"/>
  <c r="F25" i="63"/>
  <c r="AO21" i="47"/>
  <c r="B194" i="61"/>
  <c r="E111" i="63"/>
  <c r="A111" i="63"/>
  <c r="AO59" i="47"/>
  <c r="F111" i="63"/>
  <c r="F95" i="63"/>
  <c r="B166" i="61"/>
  <c r="A95" i="63"/>
  <c r="E95" i="63"/>
  <c r="AO52" i="47"/>
  <c r="B158" i="61"/>
  <c r="AO49" i="47"/>
  <c r="E36" i="63"/>
  <c r="F36" i="63"/>
  <c r="A36" i="63"/>
  <c r="B78" i="61"/>
  <c r="F21" i="63"/>
  <c r="E21" i="63"/>
  <c r="A21" i="63"/>
  <c r="AO29" i="47"/>
  <c r="E316" i="63"/>
  <c r="B147" i="61"/>
  <c r="AP46" i="47"/>
  <c r="F316" i="63"/>
  <c r="A316" i="63"/>
  <c r="AP121" i="47"/>
  <c r="E379" i="63"/>
  <c r="B399" i="61"/>
  <c r="F379" i="63"/>
  <c r="A379" i="63"/>
  <c r="F9" i="63"/>
  <c r="A9" i="63"/>
  <c r="AO12" i="47"/>
  <c r="B10" i="61"/>
  <c r="E9" i="63"/>
  <c r="AQ95" i="47"/>
  <c r="B340" i="61"/>
  <c r="F502" i="63"/>
  <c r="E502" i="63"/>
  <c r="A502" i="63"/>
  <c r="A429" i="63"/>
  <c r="F429" i="63"/>
  <c r="E429" i="63"/>
  <c r="B48" i="61"/>
  <c r="AQ21" i="47"/>
  <c r="Z142" i="47"/>
  <c r="F412" i="63" s="1"/>
  <c r="Y142" i="47"/>
  <c r="E412" i="63" s="1"/>
  <c r="W142" i="47"/>
  <c r="C412" i="63" s="1"/>
  <c r="AP142" i="47"/>
  <c r="A412" i="63"/>
  <c r="AQ25" i="47"/>
  <c r="A433" i="63"/>
  <c r="B64" i="61"/>
  <c r="E433" i="63"/>
  <c r="F433" i="63"/>
  <c r="AN125" i="47"/>
  <c r="F125" i="63"/>
  <c r="B257" i="61"/>
  <c r="A125" i="63"/>
  <c r="A311" i="63"/>
  <c r="E311" i="63"/>
  <c r="F311" i="63"/>
  <c r="AP41" i="47"/>
  <c r="B127" i="61"/>
  <c r="S143" i="47"/>
  <c r="E275" i="63" s="1"/>
  <c r="AO143" i="47"/>
  <c r="Q143" i="47"/>
  <c r="C275" i="63" s="1"/>
  <c r="T143" i="47"/>
  <c r="F275" i="63" s="1"/>
  <c r="A275" i="63"/>
  <c r="F374" i="63"/>
  <c r="B379" i="61"/>
  <c r="AP106" i="47"/>
  <c r="E374" i="63"/>
  <c r="A374" i="63"/>
  <c r="A153" i="63"/>
  <c r="F153" i="63"/>
  <c r="B369" i="61"/>
  <c r="AN120" i="47"/>
  <c r="E270" i="63"/>
  <c r="AO91" i="47"/>
  <c r="F270" i="63"/>
  <c r="B514" i="61"/>
  <c r="A270" i="63"/>
  <c r="F80" i="63"/>
  <c r="AO48" i="47"/>
  <c r="E80" i="63"/>
  <c r="B154" i="61"/>
  <c r="A80" i="63"/>
  <c r="F467" i="63"/>
  <c r="B200" i="61"/>
  <c r="AQ60" i="47"/>
  <c r="E467" i="63"/>
  <c r="A467" i="63"/>
  <c r="E493" i="63"/>
  <c r="AQ118" i="47"/>
  <c r="F493" i="63"/>
  <c r="B304" i="61"/>
  <c r="A493" i="63"/>
  <c r="F372" i="63"/>
  <c r="AP120" i="47"/>
  <c r="B371" i="61"/>
  <c r="A372" i="63"/>
  <c r="E372" i="63"/>
  <c r="B367" i="61"/>
  <c r="AP99" i="47"/>
  <c r="E371" i="63"/>
  <c r="A371" i="63"/>
  <c r="F371" i="63"/>
  <c r="F375" i="63"/>
  <c r="B383" i="61"/>
  <c r="E375" i="63"/>
  <c r="AP117" i="47"/>
  <c r="A375" i="63"/>
  <c r="F158" i="63"/>
  <c r="B389" i="61"/>
  <c r="A158" i="63"/>
  <c r="AN105" i="47"/>
  <c r="F123" i="63"/>
  <c r="A123" i="63"/>
  <c r="B253" i="61"/>
  <c r="AN73" i="47"/>
  <c r="A192" i="63"/>
  <c r="K141" i="47"/>
  <c r="C192" i="63" s="1"/>
  <c r="M141" i="47"/>
  <c r="N141" i="47"/>
  <c r="F192" i="63" s="1"/>
  <c r="AN141" i="47"/>
  <c r="AP134" i="47"/>
  <c r="E363" i="63"/>
  <c r="B335" i="61"/>
  <c r="F363" i="63"/>
  <c r="A363" i="63"/>
  <c r="F246" i="63"/>
  <c r="AO115" i="47"/>
  <c r="E246" i="63"/>
  <c r="A246" i="63"/>
  <c r="B418" i="61"/>
  <c r="B136" i="61"/>
  <c r="E451" i="63"/>
  <c r="AQ43" i="47"/>
  <c r="F451" i="63"/>
  <c r="A451" i="63"/>
  <c r="F35" i="63"/>
  <c r="B45" i="61"/>
  <c r="A35" i="63"/>
  <c r="AN21" i="47"/>
  <c r="B8" i="61"/>
  <c r="A419" i="63"/>
  <c r="AQ11" i="47"/>
  <c r="E419" i="63"/>
  <c r="F419" i="63"/>
  <c r="AQ47" i="47"/>
  <c r="E455" i="63"/>
  <c r="F455" i="63"/>
  <c r="A455" i="63"/>
  <c r="B152" i="61"/>
  <c r="AP146" i="47"/>
  <c r="Y146" i="47"/>
  <c r="E416" i="63" s="1"/>
  <c r="W146" i="47"/>
  <c r="C416" i="63" s="1"/>
  <c r="Z146" i="47"/>
  <c r="F416" i="63" s="1"/>
  <c r="A416" i="63"/>
  <c r="F231" i="63"/>
  <c r="AO123" i="47"/>
  <c r="B358" i="61"/>
  <c r="E231" i="63"/>
  <c r="A231" i="63"/>
  <c r="M145" i="47"/>
  <c r="AN145" i="47"/>
  <c r="K145" i="47"/>
  <c r="C196" i="63" s="1"/>
  <c r="N145" i="47"/>
  <c r="F196" i="63" s="1"/>
  <c r="A196" i="63"/>
  <c r="AN51" i="47"/>
  <c r="B201" i="61"/>
  <c r="A97" i="63"/>
  <c r="F97" i="63"/>
  <c r="B5" i="61"/>
  <c r="F5" i="63"/>
  <c r="AN11" i="47"/>
  <c r="A5" i="63"/>
  <c r="F405" i="63"/>
  <c r="B503" i="61"/>
  <c r="AP98" i="47"/>
  <c r="E405" i="63"/>
  <c r="A405" i="63"/>
  <c r="B410" i="61"/>
  <c r="F244" i="63"/>
  <c r="E244" i="63"/>
  <c r="A244" i="63"/>
  <c r="AO104" i="47"/>
  <c r="AP109" i="47"/>
  <c r="F386" i="63"/>
  <c r="E386" i="63"/>
  <c r="A386" i="63"/>
  <c r="B427" i="61"/>
  <c r="B512" i="61"/>
  <c r="A545" i="63"/>
  <c r="F545" i="63"/>
  <c r="E545" i="63"/>
  <c r="AQ133" i="47"/>
  <c r="A84" i="63"/>
  <c r="AN47" i="47"/>
  <c r="F84" i="63"/>
  <c r="B149" i="61"/>
  <c r="E314" i="63"/>
  <c r="AP44" i="47"/>
  <c r="A314" i="63"/>
  <c r="F314" i="63"/>
  <c r="B139" i="61"/>
  <c r="E258" i="63"/>
  <c r="B466" i="61"/>
  <c r="F258" i="63"/>
  <c r="AO113" i="47"/>
  <c r="A258" i="63"/>
  <c r="E444" i="63"/>
  <c r="A444" i="63"/>
  <c r="F444" i="63"/>
  <c r="AQ36" i="47"/>
  <c r="B108" i="61"/>
  <c r="T141" i="47"/>
  <c r="F273" i="63" s="1"/>
  <c r="S141" i="47"/>
  <c r="E273" i="63" s="1"/>
  <c r="A273" i="63"/>
  <c r="Q141" i="47"/>
  <c r="C273" i="63" s="1"/>
  <c r="AO141" i="47"/>
  <c r="A381" i="63"/>
  <c r="AP110" i="47"/>
  <c r="B407" i="61"/>
  <c r="E381" i="63"/>
  <c r="F381" i="63"/>
  <c r="B326" i="61"/>
  <c r="AO129" i="47"/>
  <c r="A223" i="63"/>
  <c r="E223" i="63"/>
  <c r="F223" i="63"/>
  <c r="F348" i="63"/>
  <c r="E348" i="63"/>
  <c r="A348" i="63"/>
  <c r="B275" i="61"/>
  <c r="AP77" i="47"/>
  <c r="AN122" i="47"/>
  <c r="F130" i="63"/>
  <c r="A130" i="63"/>
  <c r="B277" i="61"/>
  <c r="B254" i="61"/>
  <c r="A205" i="63"/>
  <c r="E205" i="63"/>
  <c r="F205" i="63"/>
  <c r="AO73" i="47"/>
  <c r="N143" i="47"/>
  <c r="F194" i="63" s="1"/>
  <c r="K143" i="47"/>
  <c r="C194" i="63" s="1"/>
  <c r="AN143" i="47"/>
  <c r="M143" i="47"/>
  <c r="A194" i="63"/>
  <c r="AN61" i="47"/>
  <c r="AR61" i="47" s="1"/>
  <c r="A105" i="63"/>
  <c r="B205" i="61"/>
  <c r="F105" i="63"/>
  <c r="E337" i="63"/>
  <c r="F337" i="63"/>
  <c r="A337" i="63"/>
  <c r="AP67" i="47"/>
  <c r="B231" i="61"/>
  <c r="B110" i="61"/>
  <c r="F63" i="63"/>
  <c r="E63" i="63"/>
  <c r="A63" i="63"/>
  <c r="AO37" i="47"/>
  <c r="F32" i="63"/>
  <c r="A32" i="63"/>
  <c r="B73" i="61"/>
  <c r="AN28" i="47"/>
  <c r="F45" i="63"/>
  <c r="E45" i="63"/>
  <c r="B62" i="61"/>
  <c r="A45" i="63"/>
  <c r="AO25" i="47"/>
  <c r="F408" i="63"/>
  <c r="A408" i="63"/>
  <c r="E408" i="63"/>
  <c r="AP91" i="47"/>
  <c r="B515" i="61"/>
  <c r="A182" i="63"/>
  <c r="AN130" i="47"/>
  <c r="F182" i="63"/>
  <c r="B485" i="61"/>
  <c r="AO95" i="47"/>
  <c r="F226" i="63"/>
  <c r="E226" i="63"/>
  <c r="B338" i="61"/>
  <c r="A226" i="63"/>
  <c r="B161" i="61"/>
  <c r="F91" i="63"/>
  <c r="AN50" i="47"/>
  <c r="A91" i="63"/>
  <c r="AP57" i="47"/>
  <c r="F326" i="63"/>
  <c r="E326" i="63"/>
  <c r="A326" i="63"/>
  <c r="B187" i="61"/>
  <c r="B273" i="61"/>
  <c r="F129" i="63"/>
  <c r="AN77" i="47"/>
  <c r="A129" i="63"/>
  <c r="B425" i="61"/>
  <c r="A167" i="63"/>
  <c r="F167" i="63"/>
  <c r="AN109" i="47"/>
  <c r="B28" i="61"/>
  <c r="A424" i="63"/>
  <c r="F424" i="63"/>
  <c r="AQ16" i="47"/>
  <c r="E424" i="63"/>
  <c r="A12" i="63"/>
  <c r="B9" i="61"/>
  <c r="F12" i="63"/>
  <c r="AN12" i="47"/>
  <c r="F449" i="63"/>
  <c r="A449" i="63"/>
  <c r="E449" i="63"/>
  <c r="AQ41" i="47"/>
  <c r="B128" i="61"/>
  <c r="AN60" i="47"/>
  <c r="F94" i="63"/>
  <c r="B197" i="61"/>
  <c r="A94" i="63"/>
  <c r="A213" i="63"/>
  <c r="F213" i="63"/>
  <c r="E213" i="63"/>
  <c r="B286" i="61"/>
  <c r="AO83" i="47"/>
  <c r="E402" i="63"/>
  <c r="A402" i="63"/>
  <c r="F402" i="63"/>
  <c r="AP132" i="47"/>
  <c r="B491" i="61"/>
  <c r="A200" i="63"/>
  <c r="E200" i="63"/>
  <c r="B130" i="61"/>
  <c r="F200" i="63"/>
  <c r="AO42" i="47"/>
  <c r="E114" i="63"/>
  <c r="F114" i="63"/>
  <c r="AO66" i="47"/>
  <c r="A114" i="63"/>
  <c r="B226" i="61"/>
  <c r="F162" i="63"/>
  <c r="AN110" i="47"/>
  <c r="B405" i="61"/>
  <c r="A162" i="63"/>
  <c r="B339" i="61"/>
  <c r="A364" i="63"/>
  <c r="F364" i="63"/>
  <c r="E364" i="63"/>
  <c r="AP95" i="47"/>
  <c r="E518" i="63"/>
  <c r="AQ126" i="47"/>
  <c r="A518" i="63"/>
  <c r="F518" i="63"/>
  <c r="B404" i="61"/>
  <c r="E344" i="63"/>
  <c r="A344" i="63"/>
  <c r="F344" i="63"/>
  <c r="AP125" i="47"/>
  <c r="B259" i="61"/>
  <c r="A388" i="63"/>
  <c r="E388" i="63"/>
  <c r="AP86" i="47"/>
  <c r="F388" i="63"/>
  <c r="B435" i="61"/>
  <c r="B494" i="61"/>
  <c r="E265" i="63"/>
  <c r="F265" i="63"/>
  <c r="AO111" i="47"/>
  <c r="A265" i="63"/>
  <c r="A361" i="63"/>
  <c r="B327" i="61"/>
  <c r="F361" i="63"/>
  <c r="E361" i="63"/>
  <c r="AP129" i="47"/>
  <c r="AN42" i="47"/>
  <c r="F20" i="63"/>
  <c r="B129" i="61"/>
  <c r="A20" i="63"/>
  <c r="AQ70" i="47"/>
  <c r="A478" i="63"/>
  <c r="E478" i="63"/>
  <c r="F478" i="63"/>
  <c r="B244" i="61"/>
  <c r="AP135" i="47"/>
  <c r="B307" i="61"/>
  <c r="F356" i="63"/>
  <c r="A356" i="63"/>
  <c r="E356" i="63"/>
  <c r="A240" i="63"/>
  <c r="B394" i="61"/>
  <c r="F240" i="63"/>
  <c r="E240" i="63"/>
  <c r="AO103" i="47"/>
  <c r="AO147" i="47"/>
  <c r="S147" i="47"/>
  <c r="E279" i="63" s="1"/>
  <c r="T147" i="47"/>
  <c r="F279" i="63" s="1"/>
  <c r="Q147" i="47"/>
  <c r="C279" i="63" s="1"/>
  <c r="A279" i="63"/>
  <c r="AN85" i="47"/>
  <c r="B473" i="61"/>
  <c r="A179" i="63"/>
  <c r="F179" i="63"/>
  <c r="A55" i="63"/>
  <c r="F55" i="63"/>
  <c r="AN27" i="47"/>
  <c r="B69" i="61"/>
  <c r="Y143" i="47"/>
  <c r="E413" i="63" s="1"/>
  <c r="Z143" i="47"/>
  <c r="F413" i="63" s="1"/>
  <c r="AP143" i="47"/>
  <c r="W143" i="47"/>
  <c r="C413" i="63" s="1"/>
  <c r="A413" i="63"/>
  <c r="A427" i="63"/>
  <c r="B40" i="61"/>
  <c r="F427" i="63"/>
  <c r="E427" i="63"/>
  <c r="AQ19" i="47"/>
  <c r="AN59" i="47"/>
  <c r="A77" i="63"/>
  <c r="F77" i="63"/>
  <c r="B193" i="61"/>
  <c r="F83" i="63"/>
  <c r="B217" i="61"/>
  <c r="A83" i="63"/>
  <c r="AN64" i="47"/>
  <c r="B434" i="61"/>
  <c r="F250" i="63"/>
  <c r="E250" i="63"/>
  <c r="A250" i="63"/>
  <c r="AO86" i="47"/>
  <c r="B474" i="61"/>
  <c r="F260" i="63"/>
  <c r="E260" i="63"/>
  <c r="AO85" i="47"/>
  <c r="A260" i="63"/>
  <c r="B282" i="61"/>
  <c r="AO128" i="47"/>
  <c r="F212" i="63"/>
  <c r="E212" i="63"/>
  <c r="A212" i="63"/>
  <c r="F317" i="63"/>
  <c r="E317" i="63"/>
  <c r="AP47" i="47"/>
  <c r="B151" i="61"/>
  <c r="A317" i="63"/>
  <c r="A292" i="63"/>
  <c r="E292" i="63"/>
  <c r="B51" i="61"/>
  <c r="F292" i="63"/>
  <c r="AP22" i="47"/>
  <c r="F171" i="63"/>
  <c r="B441" i="61"/>
  <c r="AN74" i="47"/>
  <c r="AR74" i="47" s="1"/>
  <c r="A171" i="63"/>
  <c r="A31" i="63"/>
  <c r="F31" i="63"/>
  <c r="B18" i="61"/>
  <c r="E31" i="63"/>
  <c r="AO14" i="47"/>
  <c r="E269" i="63"/>
  <c r="AO133" i="47"/>
  <c r="B510" i="61"/>
  <c r="F269" i="63"/>
  <c r="A269" i="63"/>
  <c r="F148" i="63"/>
  <c r="A148" i="63"/>
  <c r="AN76" i="47"/>
  <c r="AR76" i="47" s="1"/>
  <c r="B349" i="61"/>
  <c r="AQ114" i="47"/>
  <c r="F508" i="63"/>
  <c r="E508" i="63"/>
  <c r="B364" i="61"/>
  <c r="A508" i="63"/>
  <c r="A526" i="63"/>
  <c r="B436" i="61"/>
  <c r="E526" i="63"/>
  <c r="F526" i="63"/>
  <c r="AQ86" i="47"/>
  <c r="F285" i="63"/>
  <c r="B23" i="61"/>
  <c r="AP15" i="47"/>
  <c r="E285" i="63"/>
  <c r="A285" i="63"/>
  <c r="AC148" i="47"/>
  <c r="C556" i="63" s="1"/>
  <c r="AF148" i="47"/>
  <c r="F556" i="63" s="1"/>
  <c r="AB148" i="47"/>
  <c r="B556" i="63" s="1"/>
  <c r="A556" i="63"/>
  <c r="AD148" i="47"/>
  <c r="D556" i="63" s="1"/>
  <c r="AE148" i="47"/>
  <c r="E556" i="63" s="1"/>
  <c r="AQ148" i="47"/>
  <c r="B35" i="61"/>
  <c r="E288" i="63"/>
  <c r="AP18" i="47"/>
  <c r="A288" i="63"/>
  <c r="F288" i="63"/>
  <c r="AP94" i="47"/>
  <c r="A394" i="63"/>
  <c r="E394" i="63"/>
  <c r="F394" i="63"/>
  <c r="B459" i="61"/>
  <c r="F151" i="63"/>
  <c r="A151" i="63"/>
  <c r="AN114" i="47"/>
  <c r="AR114" i="47" s="1"/>
  <c r="B361" i="61"/>
  <c r="F139" i="63"/>
  <c r="B313" i="61"/>
  <c r="A139" i="63"/>
  <c r="AN75" i="47"/>
  <c r="F534" i="63"/>
  <c r="E534" i="63"/>
  <c r="AQ113" i="47"/>
  <c r="A534" i="63"/>
  <c r="B468" i="61"/>
  <c r="B382" i="61"/>
  <c r="F237" i="63"/>
  <c r="AO117" i="47"/>
  <c r="A237" i="63"/>
  <c r="E237" i="63"/>
  <c r="F423" i="63"/>
  <c r="B24" i="61"/>
  <c r="AQ15" i="47"/>
  <c r="E423" i="63"/>
  <c r="A423" i="63"/>
  <c r="F166" i="63"/>
  <c r="A166" i="63"/>
  <c r="B421" i="61"/>
  <c r="AN131" i="47"/>
  <c r="AR131" i="47" s="1"/>
  <c r="F204" i="63"/>
  <c r="E204" i="63"/>
  <c r="B250" i="61"/>
  <c r="AO72" i="47"/>
  <c r="A204" i="63"/>
  <c r="F174" i="63"/>
  <c r="A174" i="63"/>
  <c r="B453" i="61"/>
  <c r="AN93" i="47"/>
  <c r="A73" i="63"/>
  <c r="F73" i="63"/>
  <c r="B165" i="61"/>
  <c r="AN52" i="47"/>
  <c r="F181" i="63"/>
  <c r="A181" i="63"/>
  <c r="AN138" i="47"/>
  <c r="B481" i="61"/>
  <c r="B164" i="61"/>
  <c r="A458" i="63"/>
  <c r="F458" i="63"/>
  <c r="E458" i="63"/>
  <c r="AQ50" i="47"/>
  <c r="F187" i="63"/>
  <c r="B505" i="61"/>
  <c r="AN92" i="47"/>
  <c r="A187" i="63"/>
  <c r="B247" i="61"/>
  <c r="E341" i="63"/>
  <c r="AP71" i="47"/>
  <c r="F341" i="63"/>
  <c r="A341" i="63"/>
  <c r="B458" i="61"/>
  <c r="F256" i="63"/>
  <c r="E256" i="63"/>
  <c r="A256" i="63"/>
  <c r="AO94" i="47"/>
  <c r="AQ80" i="47"/>
  <c r="F529" i="63"/>
  <c r="E529" i="63"/>
  <c r="A529" i="63"/>
  <c r="B448" i="61"/>
  <c r="A514" i="63"/>
  <c r="E514" i="63"/>
  <c r="F514" i="63"/>
  <c r="B388" i="61"/>
  <c r="AQ119" i="47"/>
  <c r="AN89" i="47"/>
  <c r="AR89" i="47" s="1"/>
  <c r="A168" i="63"/>
  <c r="F168" i="63"/>
  <c r="B429" i="61"/>
  <c r="B346" i="61"/>
  <c r="F228" i="63"/>
  <c r="E228" i="63"/>
  <c r="AO87" i="47"/>
  <c r="A228" i="63"/>
  <c r="B53" i="61"/>
  <c r="A48" i="63"/>
  <c r="F48" i="63"/>
  <c r="AN23" i="47"/>
  <c r="E380" i="63"/>
  <c r="F380" i="63"/>
  <c r="A380" i="63"/>
  <c r="B403" i="61"/>
  <c r="AP126" i="47"/>
  <c r="A406" i="63"/>
  <c r="E406" i="63"/>
  <c r="AP92" i="47"/>
  <c r="F406" i="63"/>
  <c r="B507" i="61"/>
  <c r="Z144" i="47"/>
  <c r="F414" i="63" s="1"/>
  <c r="W144" i="47"/>
  <c r="C414" i="63" s="1"/>
  <c r="A414" i="63"/>
  <c r="Y144" i="47"/>
  <c r="E414" i="63" s="1"/>
  <c r="AP144" i="47"/>
  <c r="F255" i="63"/>
  <c r="B454" i="61"/>
  <c r="A255" i="63"/>
  <c r="E255" i="63"/>
  <c r="AO93" i="47"/>
  <c r="AP107" i="47"/>
  <c r="B295" i="61"/>
  <c r="F353" i="63"/>
  <c r="E353" i="63"/>
  <c r="A353" i="63"/>
  <c r="B54" i="61"/>
  <c r="A18" i="63"/>
  <c r="E18" i="63"/>
  <c r="F18" i="63"/>
  <c r="AO23" i="47"/>
  <c r="E346" i="63"/>
  <c r="A346" i="63"/>
  <c r="AP88" i="47"/>
  <c r="B267" i="61"/>
  <c r="F346" i="63"/>
  <c r="T142" i="47"/>
  <c r="F274" i="63" s="1"/>
  <c r="AO142" i="47"/>
  <c r="S142" i="47"/>
  <c r="E274" i="63" s="1"/>
  <c r="A274" i="63"/>
  <c r="Q142" i="47"/>
  <c r="C274" i="63" s="1"/>
  <c r="AO64" i="47"/>
  <c r="A201" i="63"/>
  <c r="E201" i="63"/>
  <c r="B218" i="61"/>
  <c r="F201" i="63"/>
  <c r="A498" i="63"/>
  <c r="E498" i="63"/>
  <c r="F498" i="63"/>
  <c r="AQ101" i="47"/>
  <c r="B324" i="61"/>
  <c r="B31" i="61"/>
  <c r="E287" i="63"/>
  <c r="A287" i="63"/>
  <c r="AP17" i="47"/>
  <c r="F287" i="63"/>
  <c r="AR58" i="47" l="1"/>
  <c r="AR12" i="47"/>
  <c r="AR56" i="47"/>
  <c r="AR40" i="47"/>
  <c r="AR138" i="47"/>
  <c r="AR68" i="47"/>
  <c r="AR59" i="47"/>
  <c r="AR75" i="47"/>
  <c r="AR35" i="47"/>
  <c r="AR105" i="47"/>
  <c r="AR97" i="47"/>
  <c r="AR65" i="47"/>
  <c r="AR31" i="47"/>
  <c r="AR130" i="47"/>
  <c r="AR140" i="47"/>
  <c r="E1" i="15"/>
  <c r="E2" i="61"/>
  <c r="AR110" i="47"/>
  <c r="AR109" i="47"/>
  <c r="AR78" i="47"/>
  <c r="D324" i="61"/>
  <c r="C498" i="63"/>
  <c r="D218" i="61"/>
  <c r="C201" i="63"/>
  <c r="C346" i="63"/>
  <c r="D267" i="61"/>
  <c r="D31" i="61"/>
  <c r="C287" i="63"/>
  <c r="B498" i="63"/>
  <c r="C324" i="61"/>
  <c r="C353" i="63"/>
  <c r="D295" i="61"/>
  <c r="D507" i="61"/>
  <c r="C406" i="63"/>
  <c r="E23" i="47"/>
  <c r="E48" i="63"/>
  <c r="E89" i="47"/>
  <c r="E168" i="63"/>
  <c r="D388" i="61"/>
  <c r="C514" i="63"/>
  <c r="C388" i="61"/>
  <c r="B514" i="63"/>
  <c r="C448" i="61"/>
  <c r="B529" i="63"/>
  <c r="D458" i="61"/>
  <c r="C256" i="63"/>
  <c r="E92" i="47"/>
  <c r="E187" i="63"/>
  <c r="E164" i="61"/>
  <c r="D458" i="63"/>
  <c r="E138" i="47"/>
  <c r="E181" i="63"/>
  <c r="E52" i="47"/>
  <c r="E73" i="63"/>
  <c r="AR93" i="47"/>
  <c r="C174" i="63"/>
  <c r="D453" i="61"/>
  <c r="E166" i="63"/>
  <c r="E131" i="47"/>
  <c r="D24" i="61"/>
  <c r="C423" i="63"/>
  <c r="C24" i="61"/>
  <c r="B423" i="63"/>
  <c r="C468" i="61"/>
  <c r="B534" i="63"/>
  <c r="D468" i="61"/>
  <c r="C534" i="63"/>
  <c r="E468" i="61"/>
  <c r="D534" i="63"/>
  <c r="D313" i="61"/>
  <c r="C139" i="63"/>
  <c r="C151" i="63"/>
  <c r="D361" i="61"/>
  <c r="C394" i="63"/>
  <c r="D459" i="61"/>
  <c r="D35" i="61"/>
  <c r="C288" i="63"/>
  <c r="C285" i="63"/>
  <c r="D23" i="61"/>
  <c r="C436" i="61"/>
  <c r="B526" i="63"/>
  <c r="E436" i="61"/>
  <c r="D526" i="63"/>
  <c r="E364" i="61"/>
  <c r="D508" i="63"/>
  <c r="C508" i="63"/>
  <c r="D364" i="61"/>
  <c r="E76" i="47"/>
  <c r="E148" i="63"/>
  <c r="D510" i="61"/>
  <c r="C269" i="63"/>
  <c r="D441" i="61"/>
  <c r="C171" i="63"/>
  <c r="C260" i="63"/>
  <c r="D474" i="61"/>
  <c r="C77" i="63"/>
  <c r="D193" i="61"/>
  <c r="E77" i="63"/>
  <c r="E59" i="47"/>
  <c r="D427" i="63"/>
  <c r="E40" i="61"/>
  <c r="C55" i="63"/>
  <c r="D69" i="61"/>
  <c r="E85" i="47"/>
  <c r="E179" i="63"/>
  <c r="AR85" i="47"/>
  <c r="C240" i="63"/>
  <c r="D394" i="61"/>
  <c r="D244" i="61"/>
  <c r="C478" i="63"/>
  <c r="E244" i="61"/>
  <c r="D478" i="63"/>
  <c r="C244" i="61"/>
  <c r="B478" i="63"/>
  <c r="E20" i="63"/>
  <c r="E42" i="47"/>
  <c r="D327" i="61"/>
  <c r="C361" i="63"/>
  <c r="D494" i="61"/>
  <c r="C265" i="63"/>
  <c r="C344" i="63"/>
  <c r="D259" i="61"/>
  <c r="D404" i="61"/>
  <c r="C518" i="63"/>
  <c r="D518" i="63"/>
  <c r="E404" i="61"/>
  <c r="C364" i="63"/>
  <c r="D339" i="61"/>
  <c r="C162" i="63"/>
  <c r="D405" i="61"/>
  <c r="D226" i="61"/>
  <c r="C114" i="63"/>
  <c r="D130" i="61"/>
  <c r="C200" i="63"/>
  <c r="D197" i="61"/>
  <c r="C94" i="63"/>
  <c r="D424" i="63"/>
  <c r="E28" i="61"/>
  <c r="C424" i="63"/>
  <c r="D28" i="61"/>
  <c r="D425" i="61"/>
  <c r="C167" i="63"/>
  <c r="E129" i="63"/>
  <c r="E77" i="47"/>
  <c r="C326" i="63"/>
  <c r="D187" i="61"/>
  <c r="E50" i="47"/>
  <c r="E91" i="63"/>
  <c r="D338" i="61"/>
  <c r="C226" i="63"/>
  <c r="D485" i="61"/>
  <c r="C182" i="63"/>
  <c r="E32" i="63"/>
  <c r="E28" i="47"/>
  <c r="C63" i="63"/>
  <c r="D110" i="61"/>
  <c r="D231" i="61"/>
  <c r="C337" i="63"/>
  <c r="C105" i="63"/>
  <c r="D205" i="61"/>
  <c r="AR143" i="47"/>
  <c r="C205" i="63"/>
  <c r="D254" i="61"/>
  <c r="C130" i="63"/>
  <c r="D277" i="61"/>
  <c r="D326" i="61"/>
  <c r="C223" i="63"/>
  <c r="D108" i="61"/>
  <c r="C444" i="63"/>
  <c r="AR47" i="47"/>
  <c r="B545" i="63"/>
  <c r="C512" i="61"/>
  <c r="D545" i="63"/>
  <c r="E512" i="61"/>
  <c r="C386" i="63"/>
  <c r="D427" i="61"/>
  <c r="F3" i="63"/>
  <c r="F1" i="63" s="1"/>
  <c r="E11" i="47"/>
  <c r="E5" i="63"/>
  <c r="D201" i="61"/>
  <c r="C97" i="63"/>
  <c r="E145" i="47"/>
  <c r="E196" i="63"/>
  <c r="C152" i="61"/>
  <c r="B455" i="63"/>
  <c r="B419" i="63"/>
  <c r="C8" i="61"/>
  <c r="C419" i="63"/>
  <c r="D8" i="61"/>
  <c r="D45" i="61"/>
  <c r="C35" i="63"/>
  <c r="E21" i="47"/>
  <c r="E35" i="63"/>
  <c r="C451" i="63"/>
  <c r="D136" i="61"/>
  <c r="B451" i="63"/>
  <c r="C136" i="61"/>
  <c r="AR141" i="47"/>
  <c r="E141" i="47"/>
  <c r="E192" i="63"/>
  <c r="C123" i="63"/>
  <c r="D253" i="61"/>
  <c r="D389" i="61"/>
  <c r="C158" i="63"/>
  <c r="C493" i="63"/>
  <c r="D304" i="61"/>
  <c r="D467" i="63"/>
  <c r="E200" i="61"/>
  <c r="C270" i="63"/>
  <c r="D514" i="61"/>
  <c r="D369" i="61"/>
  <c r="C153" i="63"/>
  <c r="D127" i="61"/>
  <c r="C311" i="63"/>
  <c r="E64" i="61"/>
  <c r="D433" i="63"/>
  <c r="D429" i="63"/>
  <c r="E48" i="61"/>
  <c r="D48" i="61"/>
  <c r="C429" i="63"/>
  <c r="C502" i="63"/>
  <c r="D340" i="61"/>
  <c r="C379" i="63"/>
  <c r="D399" i="61"/>
  <c r="D78" i="61"/>
  <c r="C21" i="63"/>
  <c r="D390" i="61"/>
  <c r="C239" i="63"/>
  <c r="C106" i="63"/>
  <c r="D233" i="61"/>
  <c r="E188" i="61"/>
  <c r="D464" i="63"/>
  <c r="E516" i="61"/>
  <c r="D546" i="63"/>
  <c r="D516" i="61"/>
  <c r="C546" i="63"/>
  <c r="E140" i="47"/>
  <c r="E191" i="63"/>
  <c r="D499" i="61"/>
  <c r="C404" i="63"/>
  <c r="C64" i="63"/>
  <c r="D121" i="61"/>
  <c r="C500" i="61"/>
  <c r="B542" i="63"/>
  <c r="D500" i="61"/>
  <c r="C542" i="63"/>
  <c r="C510" i="63"/>
  <c r="D372" i="61"/>
  <c r="AR71" i="47"/>
  <c r="E71" i="47"/>
  <c r="E122" i="63"/>
  <c r="E150" i="63"/>
  <c r="E123" i="47"/>
  <c r="AR123" i="47"/>
  <c r="E90" i="63"/>
  <c r="E65" i="47"/>
  <c r="E56" i="47"/>
  <c r="E67" i="63"/>
  <c r="B469" i="63"/>
  <c r="C208" i="61"/>
  <c r="E208" i="61"/>
  <c r="D469" i="63"/>
  <c r="C513" i="63"/>
  <c r="D384" i="61"/>
  <c r="D513" i="63"/>
  <c r="E384" i="61"/>
  <c r="C268" i="63"/>
  <c r="D506" i="61"/>
  <c r="D7" i="61"/>
  <c r="C281" i="63"/>
  <c r="C178" i="63"/>
  <c r="D469" i="61"/>
  <c r="D356" i="61"/>
  <c r="C506" i="63"/>
  <c r="C356" i="61"/>
  <c r="B506" i="63"/>
  <c r="AR98" i="47"/>
  <c r="C227" i="63"/>
  <c r="D342" i="61"/>
  <c r="E72" i="61"/>
  <c r="D435" i="63"/>
  <c r="D90" i="61"/>
  <c r="C46" i="63"/>
  <c r="C168" i="61"/>
  <c r="B459" i="63"/>
  <c r="C243" i="63"/>
  <c r="D406" i="61"/>
  <c r="D360" i="61"/>
  <c r="C507" i="63"/>
  <c r="B507" i="63"/>
  <c r="C360" i="61"/>
  <c r="AR36" i="47"/>
  <c r="B497" i="63"/>
  <c r="C320" i="61"/>
  <c r="D174" i="61"/>
  <c r="C86" i="63"/>
  <c r="D157" i="61"/>
  <c r="C124" i="63"/>
  <c r="AR49" i="47"/>
  <c r="D495" i="61"/>
  <c r="C403" i="63"/>
  <c r="C483" i="63"/>
  <c r="D264" i="61"/>
  <c r="B483" i="63"/>
  <c r="C264" i="61"/>
  <c r="C176" i="61"/>
  <c r="B461" i="63"/>
  <c r="D446" i="61"/>
  <c r="C253" i="63"/>
  <c r="D70" i="61"/>
  <c r="C24" i="63"/>
  <c r="AR16" i="47"/>
  <c r="D363" i="61"/>
  <c r="C370" i="63"/>
  <c r="C321" i="63"/>
  <c r="D167" i="61"/>
  <c r="E34" i="47"/>
  <c r="E53" i="63"/>
  <c r="C349" i="63"/>
  <c r="D279" i="61"/>
  <c r="D499" i="63"/>
  <c r="E328" i="61"/>
  <c r="C180" i="63"/>
  <c r="D477" i="61"/>
  <c r="D126" i="61"/>
  <c r="C65" i="63"/>
  <c r="C211" i="63"/>
  <c r="D278" i="61"/>
  <c r="D428" i="63"/>
  <c r="E44" i="61"/>
  <c r="AR43" i="47"/>
  <c r="E115" i="63"/>
  <c r="E57" i="47"/>
  <c r="AR57" i="47"/>
  <c r="E47" i="63"/>
  <c r="E46" i="47"/>
  <c r="D71" i="61"/>
  <c r="C297" i="63"/>
  <c r="D186" i="61"/>
  <c r="C59" i="63"/>
  <c r="E119" i="47"/>
  <c r="E157" i="63"/>
  <c r="B436" i="63"/>
  <c r="C76" i="61"/>
  <c r="D436" i="63"/>
  <c r="E76" i="61"/>
  <c r="C436" i="63"/>
  <c r="D76" i="61"/>
  <c r="E124" i="47"/>
  <c r="E140" i="63"/>
  <c r="AR124" i="47"/>
  <c r="AR37" i="47"/>
  <c r="D180" i="61"/>
  <c r="C462" i="63"/>
  <c r="D85" i="61"/>
  <c r="C76" i="63"/>
  <c r="C56" i="61"/>
  <c r="B431" i="63"/>
  <c r="D431" i="63"/>
  <c r="E56" i="61"/>
  <c r="D298" i="61"/>
  <c r="C216" i="63"/>
  <c r="D341" i="61"/>
  <c r="C146" i="63"/>
  <c r="AR116" i="47"/>
  <c r="AR111" i="47"/>
  <c r="D171" i="61"/>
  <c r="C322" i="63"/>
  <c r="D272" i="61"/>
  <c r="C485" i="63"/>
  <c r="E272" i="61"/>
  <c r="D485" i="63"/>
  <c r="AR121" i="47"/>
  <c r="C355" i="63"/>
  <c r="D303" i="61"/>
  <c r="E159" i="63"/>
  <c r="E103" i="47"/>
  <c r="D265" i="61"/>
  <c r="C127" i="63"/>
  <c r="E88" i="47"/>
  <c r="E127" i="63"/>
  <c r="D368" i="61"/>
  <c r="C509" i="63"/>
  <c r="C533" i="63"/>
  <c r="D464" i="61"/>
  <c r="E464" i="61"/>
  <c r="D533" i="63"/>
  <c r="C464" i="61"/>
  <c r="B533" i="63"/>
  <c r="D422" i="63"/>
  <c r="E20" i="61"/>
  <c r="C422" i="63"/>
  <c r="D20" i="61"/>
  <c r="E62" i="63"/>
  <c r="E35" i="47"/>
  <c r="B453" i="63"/>
  <c r="C144" i="61"/>
  <c r="E144" i="61"/>
  <c r="D453" i="63"/>
  <c r="C218" i="63"/>
  <c r="D306" i="61"/>
  <c r="C207" i="63"/>
  <c r="D262" i="61"/>
  <c r="D134" i="61"/>
  <c r="C52" i="63"/>
  <c r="C156" i="63"/>
  <c r="D381" i="61"/>
  <c r="AR117" i="47"/>
  <c r="B477" i="63"/>
  <c r="C240" i="61"/>
  <c r="C408" i="61"/>
  <c r="B519" i="63"/>
  <c r="E408" i="61"/>
  <c r="D519" i="63"/>
  <c r="D408" i="61"/>
  <c r="C519" i="63"/>
  <c r="C496" i="63"/>
  <c r="D316" i="61"/>
  <c r="D489" i="61"/>
  <c r="C183" i="63"/>
  <c r="E420" i="61"/>
  <c r="D522" i="63"/>
  <c r="AR80" i="47"/>
  <c r="C343" i="63"/>
  <c r="D255" i="61"/>
  <c r="C484" i="63"/>
  <c r="D268" i="61"/>
  <c r="B484" i="63"/>
  <c r="C268" i="61"/>
  <c r="E45" i="47"/>
  <c r="E68" i="63"/>
  <c r="D141" i="61"/>
  <c r="C68" i="63"/>
  <c r="C267" i="63"/>
  <c r="D502" i="61"/>
  <c r="C209" i="63"/>
  <c r="D270" i="61"/>
  <c r="D491" i="63"/>
  <c r="E296" i="61"/>
  <c r="D296" i="61"/>
  <c r="C491" i="63"/>
  <c r="B500" i="63"/>
  <c r="C332" i="61"/>
  <c r="C23" i="63"/>
  <c r="D86" i="61"/>
  <c r="C104" i="63"/>
  <c r="D178" i="61"/>
  <c r="E88" i="63"/>
  <c r="E58" i="47"/>
  <c r="C88" i="63"/>
  <c r="D189" i="61"/>
  <c r="AR107" i="47"/>
  <c r="E196" i="61"/>
  <c r="D466" i="63"/>
  <c r="D196" i="61"/>
  <c r="C466" i="63"/>
  <c r="B466" i="63"/>
  <c r="C196" i="61"/>
  <c r="D283" i="61"/>
  <c r="C350" i="63"/>
  <c r="D246" i="61"/>
  <c r="C118" i="63"/>
  <c r="B481" i="63"/>
  <c r="C256" i="61"/>
  <c r="D256" i="61"/>
  <c r="C481" i="63"/>
  <c r="E26" i="63"/>
  <c r="E19" i="47"/>
  <c r="C352" i="63"/>
  <c r="D291" i="61"/>
  <c r="C155" i="63"/>
  <c r="D377" i="61"/>
  <c r="C468" i="63"/>
  <c r="D204" i="61"/>
  <c r="C460" i="63"/>
  <c r="D172" i="61"/>
  <c r="E172" i="61"/>
  <c r="D460" i="63"/>
  <c r="E81" i="63"/>
  <c r="E48" i="47"/>
  <c r="AR48" i="47"/>
  <c r="E344" i="61"/>
  <c r="D503" i="63"/>
  <c r="C344" i="61"/>
  <c r="B503" i="63"/>
  <c r="C407" i="63"/>
  <c r="D511" i="61"/>
  <c r="C302" i="63"/>
  <c r="D91" i="61"/>
  <c r="C220" i="61"/>
  <c r="B472" i="63"/>
  <c r="D220" i="61"/>
  <c r="C472" i="63"/>
  <c r="D276" i="61"/>
  <c r="C486" i="63"/>
  <c r="AR86" i="47"/>
  <c r="E86" i="47"/>
  <c r="E169" i="63"/>
  <c r="AR33" i="47"/>
  <c r="D93" i="61"/>
  <c r="C57" i="63"/>
  <c r="E44" i="63"/>
  <c r="E32" i="47"/>
  <c r="AR32" i="47"/>
  <c r="E492" i="61"/>
  <c r="D540" i="63"/>
  <c r="C540" i="63"/>
  <c r="D492" i="61"/>
  <c r="D210" i="61"/>
  <c r="C116" i="63"/>
  <c r="C100" i="61"/>
  <c r="B442" i="63"/>
  <c r="D100" i="61"/>
  <c r="C442" i="63"/>
  <c r="E236" i="61"/>
  <c r="D476" i="63"/>
  <c r="C392" i="61"/>
  <c r="B515" i="63"/>
  <c r="C249" i="63"/>
  <c r="D430" i="61"/>
  <c r="D424" i="61"/>
  <c r="C523" i="63"/>
  <c r="C88" i="61"/>
  <c r="B439" i="63"/>
  <c r="D439" i="63"/>
  <c r="E88" i="61"/>
  <c r="C504" i="63"/>
  <c r="D348" i="61"/>
  <c r="C351" i="63"/>
  <c r="D287" i="61"/>
  <c r="D234" i="61"/>
  <c r="C119" i="63"/>
  <c r="AR113" i="47"/>
  <c r="D480" i="61"/>
  <c r="C537" i="63"/>
  <c r="D537" i="63"/>
  <c r="E480" i="61"/>
  <c r="C480" i="61"/>
  <c r="B537" i="63"/>
  <c r="E99" i="47"/>
  <c r="E152" i="63"/>
  <c r="D365" i="61"/>
  <c r="C152" i="63"/>
  <c r="D243" i="61"/>
  <c r="C340" i="63"/>
  <c r="C390" i="63"/>
  <c r="D443" i="61"/>
  <c r="E300" i="61"/>
  <c r="D492" i="63"/>
  <c r="C492" i="63"/>
  <c r="D300" i="61"/>
  <c r="D411" i="61"/>
  <c r="C382" i="63"/>
  <c r="D299" i="61"/>
  <c r="C354" i="63"/>
  <c r="E147" i="63"/>
  <c r="E87" i="47"/>
  <c r="C206" i="63"/>
  <c r="D258" i="61"/>
  <c r="C96" i="63"/>
  <c r="D66" i="61"/>
  <c r="D333" i="61"/>
  <c r="C144" i="63"/>
  <c r="E134" i="47"/>
  <c r="E144" i="63"/>
  <c r="C102" i="63"/>
  <c r="D202" i="61"/>
  <c r="C452" i="61"/>
  <c r="B530" i="63"/>
  <c r="E452" i="61"/>
  <c r="D530" i="63"/>
  <c r="AR95" i="47"/>
  <c r="E145" i="63"/>
  <c r="E95" i="47"/>
  <c r="AR25" i="47"/>
  <c r="E79" i="47"/>
  <c r="E149" i="63"/>
  <c r="AR79" i="47"/>
  <c r="C248" i="61"/>
  <c r="B479" i="63"/>
  <c r="D479" i="63"/>
  <c r="E248" i="61"/>
  <c r="D325" i="61"/>
  <c r="C142" i="63"/>
  <c r="C369" i="63"/>
  <c r="D359" i="61"/>
  <c r="C27" i="63"/>
  <c r="D34" i="61"/>
  <c r="E136" i="63"/>
  <c r="E118" i="47"/>
  <c r="D505" i="63"/>
  <c r="E352" i="61"/>
  <c r="D199" i="61"/>
  <c r="C329" i="63"/>
  <c r="AR62" i="47"/>
  <c r="E62" i="47"/>
  <c r="E87" i="63"/>
  <c r="E142" i="47"/>
  <c r="E193" i="63"/>
  <c r="D179" i="61"/>
  <c r="C324" i="63"/>
  <c r="E29" i="47"/>
  <c r="E61" i="63"/>
  <c r="AR29" i="47"/>
  <c r="E107" i="63"/>
  <c r="E66" i="47"/>
  <c r="C305" i="63"/>
  <c r="D103" i="61"/>
  <c r="E128" i="63"/>
  <c r="E136" i="47"/>
  <c r="AR136" i="47"/>
  <c r="C137" i="63"/>
  <c r="D305" i="61"/>
  <c r="C215" i="63"/>
  <c r="D294" i="61"/>
  <c r="C40" i="63"/>
  <c r="D81" i="61"/>
  <c r="C170" i="63"/>
  <c r="D437" i="61"/>
  <c r="E170" i="63"/>
  <c r="E78" i="47"/>
  <c r="D437" i="63"/>
  <c r="E80" i="61"/>
  <c r="D30" i="61"/>
  <c r="C13" i="63"/>
  <c r="D263" i="61"/>
  <c r="C345" i="63"/>
  <c r="D207" i="61"/>
  <c r="C331" i="63"/>
  <c r="E128" i="47"/>
  <c r="E131" i="63"/>
  <c r="D281" i="61"/>
  <c r="C131" i="63"/>
  <c r="D438" i="63"/>
  <c r="E84" i="61"/>
  <c r="D488" i="61"/>
  <c r="C539" i="63"/>
  <c r="C251" i="63"/>
  <c r="D438" i="61"/>
  <c r="D463" i="63"/>
  <c r="E184" i="61"/>
  <c r="D184" i="61"/>
  <c r="C463" i="63"/>
  <c r="C214" i="63"/>
  <c r="D290" i="61"/>
  <c r="AR72" i="47"/>
  <c r="C487" i="63"/>
  <c r="D280" i="61"/>
  <c r="C280" i="61"/>
  <c r="B487" i="63"/>
  <c r="B473" i="63"/>
  <c r="C224" i="61"/>
  <c r="C333" i="63"/>
  <c r="D215" i="61"/>
  <c r="D60" i="61"/>
  <c r="C432" i="63"/>
  <c r="E416" i="61"/>
  <c r="D521" i="63"/>
  <c r="C521" i="63"/>
  <c r="D416" i="61"/>
  <c r="E18" i="47"/>
  <c r="E19" i="63"/>
  <c r="AR18" i="47"/>
  <c r="D494" i="63"/>
  <c r="E308" i="61"/>
  <c r="E33" i="63"/>
  <c r="E22" i="47"/>
  <c r="D450" i="63"/>
  <c r="E132" i="61"/>
  <c r="B450" i="63"/>
  <c r="C132" i="61"/>
  <c r="D26" i="61"/>
  <c r="C8" i="63"/>
  <c r="D124" i="61"/>
  <c r="C448" i="63"/>
  <c r="C100" i="63"/>
  <c r="D214" i="61"/>
  <c r="C400" i="63"/>
  <c r="D483" i="61"/>
  <c r="D447" i="61"/>
  <c r="C391" i="63"/>
  <c r="C262" i="63"/>
  <c r="D482" i="61"/>
  <c r="D39" i="61"/>
  <c r="C289" i="63"/>
  <c r="B440" i="63"/>
  <c r="C92" i="61"/>
  <c r="C101" i="63"/>
  <c r="D190" i="61"/>
  <c r="C103" i="63"/>
  <c r="D146" i="61"/>
  <c r="B527" i="63"/>
  <c r="C440" i="61"/>
  <c r="C96" i="61"/>
  <c r="B441" i="63"/>
  <c r="D441" i="63"/>
  <c r="E96" i="61"/>
  <c r="E112" i="61"/>
  <c r="D445" i="63"/>
  <c r="D11" i="61"/>
  <c r="C282" i="63"/>
  <c r="C301" i="63"/>
  <c r="D87" i="61"/>
  <c r="D538" i="63"/>
  <c r="E484" i="61"/>
  <c r="C484" i="61"/>
  <c r="B538" i="63"/>
  <c r="D513" i="61"/>
  <c r="C189" i="63"/>
  <c r="E189" i="63"/>
  <c r="E91" i="47"/>
  <c r="E13" i="47"/>
  <c r="E6" i="63"/>
  <c r="D113" i="61"/>
  <c r="C51" i="63"/>
  <c r="E38" i="47"/>
  <c r="E51" i="63"/>
  <c r="C108" i="63"/>
  <c r="D213" i="61"/>
  <c r="C425" i="63"/>
  <c r="D32" i="61"/>
  <c r="D425" i="63"/>
  <c r="E32" i="61"/>
  <c r="AR17" i="47"/>
  <c r="D111" i="61"/>
  <c r="C307" i="63"/>
  <c r="D501" i="63"/>
  <c r="E336" i="61"/>
  <c r="C160" i="61"/>
  <c r="B457" i="63"/>
  <c r="B495" i="63"/>
  <c r="C312" i="61"/>
  <c r="D114" i="61"/>
  <c r="C72" i="63"/>
  <c r="AR14" i="47"/>
  <c r="D525" i="63"/>
  <c r="E432" i="61"/>
  <c r="D430" i="63"/>
  <c r="E52" i="61"/>
  <c r="D52" i="61"/>
  <c r="C430" i="63"/>
  <c r="E173" i="63"/>
  <c r="E82" i="47"/>
  <c r="E476" i="61"/>
  <c r="D536" i="63"/>
  <c r="E84" i="47"/>
  <c r="E164" i="63"/>
  <c r="C164" i="63"/>
  <c r="D413" i="61"/>
  <c r="C286" i="63"/>
  <c r="D27" i="61"/>
  <c r="C428" i="61"/>
  <c r="B524" i="63"/>
  <c r="D428" i="61"/>
  <c r="C524" i="63"/>
  <c r="E70" i="47"/>
  <c r="E117" i="63"/>
  <c r="AR70" i="47"/>
  <c r="E101" i="47"/>
  <c r="E141" i="63"/>
  <c r="AR24" i="47"/>
  <c r="E24" i="47"/>
  <c r="E14" i="63"/>
  <c r="D517" i="63"/>
  <c r="E400" i="61"/>
  <c r="AR133" i="47"/>
  <c r="D451" i="61"/>
  <c r="C392" i="63"/>
  <c r="C389" i="63"/>
  <c r="D439" i="61"/>
  <c r="E192" i="61"/>
  <c r="D465" i="63"/>
  <c r="D423" i="61"/>
  <c r="C385" i="63"/>
  <c r="E104" i="47"/>
  <c r="E163" i="63"/>
  <c r="C163" i="63"/>
  <c r="D409" i="61"/>
  <c r="C284" i="63"/>
  <c r="D19" i="61"/>
  <c r="C490" i="63"/>
  <c r="D292" i="61"/>
  <c r="AR41" i="47"/>
  <c r="D125" i="61"/>
  <c r="C69" i="63"/>
  <c r="D182" i="61"/>
  <c r="C109" i="63"/>
  <c r="E496" i="61"/>
  <c r="D541" i="63"/>
  <c r="B541" i="63"/>
  <c r="C496" i="61"/>
  <c r="C22" i="63"/>
  <c r="D38" i="61"/>
  <c r="C208" i="63"/>
  <c r="D266" i="61"/>
  <c r="D535" i="63"/>
  <c r="E472" i="61"/>
  <c r="D42" i="61"/>
  <c r="C30" i="63"/>
  <c r="C66" i="63"/>
  <c r="D117" i="61"/>
  <c r="AR39" i="47"/>
  <c r="AR54" i="47"/>
  <c r="E161" i="63"/>
  <c r="E126" i="47"/>
  <c r="D401" i="61"/>
  <c r="C161" i="63"/>
  <c r="D443" i="63"/>
  <c r="E104" i="61"/>
  <c r="C443" i="63"/>
  <c r="D104" i="61"/>
  <c r="C291" i="63"/>
  <c r="D47" i="61"/>
  <c r="E412" i="61"/>
  <c r="D520" i="63"/>
  <c r="E68" i="61"/>
  <c r="D434" i="63"/>
  <c r="C68" i="61"/>
  <c r="B434" i="63"/>
  <c r="D12" i="61"/>
  <c r="C420" i="63"/>
  <c r="E12" i="61"/>
  <c r="D420" i="63"/>
  <c r="B420" i="63"/>
  <c r="C12" i="61"/>
  <c r="C38" i="63"/>
  <c r="D50" i="61"/>
  <c r="E380" i="61"/>
  <c r="D512" i="63"/>
  <c r="D380" i="61"/>
  <c r="C512" i="63"/>
  <c r="C452" i="63"/>
  <c r="D140" i="61"/>
  <c r="C140" i="61"/>
  <c r="B452" i="63"/>
  <c r="E140" i="61"/>
  <c r="D452" i="63"/>
  <c r="E15" i="47"/>
  <c r="E16" i="63"/>
  <c r="AR15" i="47"/>
  <c r="D195" i="61"/>
  <c r="C328" i="63"/>
  <c r="C367" i="63"/>
  <c r="D351" i="61"/>
  <c r="AR67" i="47"/>
  <c r="D474" i="63"/>
  <c r="E228" i="61"/>
  <c r="AR83" i="47"/>
  <c r="D285" i="61"/>
  <c r="C132" i="63"/>
  <c r="B471" i="63"/>
  <c r="C216" i="61"/>
  <c r="AR20" i="47"/>
  <c r="D41" i="61"/>
  <c r="C29" i="63"/>
  <c r="E20" i="47"/>
  <c r="E29" i="63"/>
  <c r="AR53" i="47"/>
  <c r="AR81" i="47"/>
  <c r="D237" i="61"/>
  <c r="C113" i="63"/>
  <c r="AR69" i="47"/>
  <c r="C85" i="63"/>
  <c r="D170" i="61"/>
  <c r="E74" i="63"/>
  <c r="E44" i="47"/>
  <c r="AR44" i="47"/>
  <c r="D99" i="61"/>
  <c r="C304" i="63"/>
  <c r="D284" i="61"/>
  <c r="C488" i="63"/>
  <c r="B488" i="63"/>
  <c r="C284" i="61"/>
  <c r="D322" i="61"/>
  <c r="C222" i="63"/>
  <c r="C79" i="63"/>
  <c r="D177" i="61"/>
  <c r="E79" i="63"/>
  <c r="E55" i="47"/>
  <c r="E108" i="47"/>
  <c r="E176" i="63"/>
  <c r="C176" i="63"/>
  <c r="D461" i="61"/>
  <c r="AR102" i="47"/>
  <c r="E120" i="61"/>
  <c r="D447" i="63"/>
  <c r="E504" i="61"/>
  <c r="D543" i="63"/>
  <c r="C504" i="61"/>
  <c r="B543" i="63"/>
  <c r="E115" i="47"/>
  <c r="E165" i="63"/>
  <c r="C165" i="63"/>
  <c r="D417" i="61"/>
  <c r="C376" i="61"/>
  <c r="B511" i="63"/>
  <c r="E143" i="63"/>
  <c r="E127" i="47"/>
  <c r="AR127" i="47"/>
  <c r="AR100" i="47"/>
  <c r="E126" i="63"/>
  <c r="E100" i="47"/>
  <c r="C454" i="63"/>
  <c r="D148" i="61"/>
  <c r="D309" i="61"/>
  <c r="C138" i="63"/>
  <c r="D446" i="63"/>
  <c r="E116" i="61"/>
  <c r="C482" i="63"/>
  <c r="D260" i="61"/>
  <c r="C516" i="63"/>
  <c r="D396" i="61"/>
  <c r="E396" i="61"/>
  <c r="D516" i="63"/>
  <c r="B528" i="63"/>
  <c r="C444" i="61"/>
  <c r="D490" i="61"/>
  <c r="C264" i="63"/>
  <c r="D198" i="61"/>
  <c r="C98" i="63"/>
  <c r="E252" i="61"/>
  <c r="D480" i="63"/>
  <c r="D531" i="63"/>
  <c r="E456" i="61"/>
  <c r="C325" i="63"/>
  <c r="D183" i="61"/>
  <c r="E11" i="63"/>
  <c r="E26" i="47"/>
  <c r="D232" i="61"/>
  <c r="C475" i="63"/>
  <c r="E232" i="61"/>
  <c r="D475" i="63"/>
  <c r="B532" i="63"/>
  <c r="C460" i="61"/>
  <c r="D498" i="63"/>
  <c r="E324" i="61"/>
  <c r="C18" i="63"/>
  <c r="D54" i="61"/>
  <c r="D454" i="61"/>
  <c r="C255" i="63"/>
  <c r="C380" i="63"/>
  <c r="D403" i="61"/>
  <c r="AR23" i="47"/>
  <c r="D53" i="61"/>
  <c r="C48" i="63"/>
  <c r="C228" i="63"/>
  <c r="D346" i="61"/>
  <c r="C168" i="63"/>
  <c r="D429" i="61"/>
  <c r="D514" i="63"/>
  <c r="E388" i="61"/>
  <c r="C529" i="63"/>
  <c r="D448" i="61"/>
  <c r="E448" i="61"/>
  <c r="D529" i="63"/>
  <c r="D247" i="61"/>
  <c r="C341" i="63"/>
  <c r="D505" i="61"/>
  <c r="C187" i="63"/>
  <c r="AR92" i="47"/>
  <c r="D164" i="61"/>
  <c r="C458" i="63"/>
  <c r="C164" i="61"/>
  <c r="B458" i="63"/>
  <c r="D481" i="61"/>
  <c r="C181" i="63"/>
  <c r="D165" i="61"/>
  <c r="C73" i="63"/>
  <c r="E174" i="63"/>
  <c r="E93" i="47"/>
  <c r="C204" i="63"/>
  <c r="D250" i="61"/>
  <c r="C166" i="63"/>
  <c r="D421" i="61"/>
  <c r="E24" i="61"/>
  <c r="D423" i="63"/>
  <c r="C237" i="63"/>
  <c r="D382" i="61"/>
  <c r="E139" i="63"/>
  <c r="E75" i="47"/>
  <c r="E114" i="47"/>
  <c r="E151" i="63"/>
  <c r="D436" i="61"/>
  <c r="C526" i="63"/>
  <c r="C364" i="61"/>
  <c r="B508" i="63"/>
  <c r="C148" i="63"/>
  <c r="D349" i="61"/>
  <c r="C31" i="63"/>
  <c r="D18" i="61"/>
  <c r="E74" i="47"/>
  <c r="E171" i="63"/>
  <c r="D51" i="61"/>
  <c r="C292" i="63"/>
  <c r="D151" i="61"/>
  <c r="C317" i="63"/>
  <c r="C212" i="63"/>
  <c r="D282" i="61"/>
  <c r="C250" i="63"/>
  <c r="D434" i="61"/>
  <c r="AR64" i="47"/>
  <c r="D217" i="61"/>
  <c r="C83" i="63"/>
  <c r="E83" i="63"/>
  <c r="E64" i="47"/>
  <c r="C40" i="61"/>
  <c r="B427" i="63"/>
  <c r="D40" i="61"/>
  <c r="C427" i="63"/>
  <c r="E27" i="47"/>
  <c r="E55" i="63"/>
  <c r="D473" i="61"/>
  <c r="C179" i="63"/>
  <c r="D307" i="61"/>
  <c r="C356" i="63"/>
  <c r="D129" i="61"/>
  <c r="C20" i="63"/>
  <c r="D435" i="61"/>
  <c r="C388" i="63"/>
  <c r="B518" i="63"/>
  <c r="C404" i="61"/>
  <c r="E162" i="63"/>
  <c r="E110" i="47"/>
  <c r="C402" i="63"/>
  <c r="D491" i="61"/>
  <c r="D286" i="61"/>
  <c r="C213" i="63"/>
  <c r="E94" i="63"/>
  <c r="E60" i="47"/>
  <c r="D449" i="63"/>
  <c r="E128" i="61"/>
  <c r="D128" i="61"/>
  <c r="C449" i="63"/>
  <c r="C128" i="61"/>
  <c r="B449" i="63"/>
  <c r="D9" i="61"/>
  <c r="C12" i="63"/>
  <c r="E12" i="47"/>
  <c r="E12" i="63"/>
  <c r="B424" i="63"/>
  <c r="C28" i="61"/>
  <c r="E109" i="47"/>
  <c r="E167" i="63"/>
  <c r="D273" i="61"/>
  <c r="C129" i="63"/>
  <c r="AR50" i="47"/>
  <c r="D161" i="61"/>
  <c r="C91" i="63"/>
  <c r="E182" i="63"/>
  <c r="E130" i="47"/>
  <c r="C408" i="63"/>
  <c r="D515" i="61"/>
  <c r="D62" i="61"/>
  <c r="C45" i="63"/>
  <c r="C32" i="63"/>
  <c r="D73" i="61"/>
  <c r="E105" i="63"/>
  <c r="E61" i="47"/>
  <c r="E143" i="47"/>
  <c r="E194" i="63"/>
  <c r="E122" i="47"/>
  <c r="E130" i="63"/>
  <c r="D275" i="61"/>
  <c r="C348" i="63"/>
  <c r="D407" i="61"/>
  <c r="C381" i="63"/>
  <c r="B444" i="63"/>
  <c r="C108" i="61"/>
  <c r="D444" i="63"/>
  <c r="E108" i="61"/>
  <c r="C258" i="63"/>
  <c r="D466" i="61"/>
  <c r="C314" i="63"/>
  <c r="D139" i="61"/>
  <c r="E47" i="47"/>
  <c r="E84" i="63"/>
  <c r="C84" i="63"/>
  <c r="D149" i="61"/>
  <c r="C545" i="63"/>
  <c r="D512" i="61"/>
  <c r="C244" i="63"/>
  <c r="D410" i="61"/>
  <c r="D503" i="61"/>
  <c r="C405" i="63"/>
  <c r="C5" i="63"/>
  <c r="D5" i="61"/>
  <c r="E51" i="47"/>
  <c r="E97" i="63"/>
  <c r="C231" i="63"/>
  <c r="D358" i="61"/>
  <c r="D455" i="63"/>
  <c r="E152" i="61"/>
  <c r="D152" i="61"/>
  <c r="C455" i="63"/>
  <c r="D419" i="63"/>
  <c r="E8" i="61"/>
  <c r="E136" i="61"/>
  <c r="D451" i="63"/>
  <c r="C246" i="63"/>
  <c r="D418" i="61"/>
  <c r="C363" i="63"/>
  <c r="D335" i="61"/>
  <c r="E123" i="63"/>
  <c r="E73" i="47"/>
  <c r="AR73" i="47"/>
  <c r="E158" i="63"/>
  <c r="E105" i="47"/>
  <c r="D383" i="61"/>
  <c r="C375" i="63"/>
  <c r="C371" i="63"/>
  <c r="D367" i="61"/>
  <c r="C372" i="63"/>
  <c r="D371" i="61"/>
  <c r="C304" i="61"/>
  <c r="B493" i="63"/>
  <c r="E304" i="61"/>
  <c r="D493" i="63"/>
  <c r="C467" i="63"/>
  <c r="D200" i="61"/>
  <c r="C200" i="61"/>
  <c r="B467" i="63"/>
  <c r="D154" i="61"/>
  <c r="C80" i="63"/>
  <c r="AR120" i="47"/>
  <c r="E153" i="63"/>
  <c r="E120" i="47"/>
  <c r="D379" i="61"/>
  <c r="C374" i="63"/>
  <c r="C125" i="63"/>
  <c r="D257" i="61"/>
  <c r="E125" i="47"/>
  <c r="E125" i="63"/>
  <c r="AR125" i="47"/>
  <c r="C433" i="63"/>
  <c r="D64" i="61"/>
  <c r="B433" i="63"/>
  <c r="C64" i="61"/>
  <c r="C48" i="61"/>
  <c r="B429" i="63"/>
  <c r="E340" i="61"/>
  <c r="D502" i="63"/>
  <c r="C340" i="61"/>
  <c r="B502" i="63"/>
  <c r="D10" i="61"/>
  <c r="C9" i="63"/>
  <c r="D147" i="61"/>
  <c r="C316" i="63"/>
  <c r="D158" i="61"/>
  <c r="C36" i="63"/>
  <c r="C95" i="63"/>
  <c r="D166" i="61"/>
  <c r="D194" i="61"/>
  <c r="C111" i="63"/>
  <c r="D46" i="61"/>
  <c r="C25" i="63"/>
  <c r="E68" i="47"/>
  <c r="E106" i="63"/>
  <c r="C41" i="63"/>
  <c r="D82" i="61"/>
  <c r="D508" i="61"/>
  <c r="C544" i="63"/>
  <c r="C508" i="61"/>
  <c r="B544" i="63"/>
  <c r="D544" i="63"/>
  <c r="E508" i="61"/>
  <c r="D188" i="61"/>
  <c r="C464" i="63"/>
  <c r="C188" i="61"/>
  <c r="B464" i="63"/>
  <c r="C516" i="61"/>
  <c r="B546" i="63"/>
  <c r="E40" i="47"/>
  <c r="E64" i="63"/>
  <c r="E500" i="61"/>
  <c r="D542" i="63"/>
  <c r="D510" i="63"/>
  <c r="E372" i="61"/>
  <c r="C372" i="61"/>
  <c r="B510" i="63"/>
  <c r="C122" i="63"/>
  <c r="D245" i="61"/>
  <c r="D357" i="61"/>
  <c r="C150" i="63"/>
  <c r="D221" i="61"/>
  <c r="C90" i="63"/>
  <c r="D181" i="61"/>
  <c r="C67" i="63"/>
  <c r="C469" i="63"/>
  <c r="D208" i="61"/>
  <c r="B513" i="63"/>
  <c r="C384" i="61"/>
  <c r="D67" i="61"/>
  <c r="C296" i="63"/>
  <c r="C220" i="63"/>
  <c r="D314" i="61"/>
  <c r="C401" i="63"/>
  <c r="D487" i="61"/>
  <c r="C135" i="63"/>
  <c r="D297" i="61"/>
  <c r="E135" i="63"/>
  <c r="E112" i="47"/>
  <c r="D98" i="61"/>
  <c r="C43" i="63"/>
  <c r="C373" i="63"/>
  <c r="D375" i="61"/>
  <c r="E178" i="63"/>
  <c r="E96" i="47"/>
  <c r="D506" i="63"/>
  <c r="E356" i="61"/>
  <c r="E186" i="63"/>
  <c r="E98" i="47"/>
  <c r="C186" i="63"/>
  <c r="D501" i="61"/>
  <c r="D462" i="61"/>
  <c r="C257" i="63"/>
  <c r="D75" i="61"/>
  <c r="C298" i="63"/>
  <c r="D72" i="61"/>
  <c r="C435" i="63"/>
  <c r="B435" i="63"/>
  <c r="C72" i="61"/>
  <c r="C242" i="63"/>
  <c r="D402" i="61"/>
  <c r="E190" i="63"/>
  <c r="E139" i="47"/>
  <c r="E168" i="61"/>
  <c r="D459" i="63"/>
  <c r="D168" i="61"/>
  <c r="C459" i="63"/>
  <c r="D507" i="63"/>
  <c r="E360" i="61"/>
  <c r="E50" i="63"/>
  <c r="E36" i="47"/>
  <c r="D105" i="61"/>
  <c r="C50" i="63"/>
  <c r="E320" i="61"/>
  <c r="D497" i="63"/>
  <c r="C497" i="63"/>
  <c r="D320" i="61"/>
  <c r="E124" i="63"/>
  <c r="E49" i="47"/>
  <c r="D483" i="63"/>
  <c r="E264" i="61"/>
  <c r="E176" i="61"/>
  <c r="D461" i="63"/>
  <c r="D176" i="61"/>
  <c r="C461" i="63"/>
  <c r="E37" i="63"/>
  <c r="E16" i="47"/>
  <c r="D25" i="61"/>
  <c r="C37" i="63"/>
  <c r="D366" i="61"/>
  <c r="C233" i="63"/>
  <c r="D354" i="61"/>
  <c r="C230" i="63"/>
  <c r="C53" i="63"/>
  <c r="D97" i="61"/>
  <c r="AR34" i="47"/>
  <c r="B499" i="63"/>
  <c r="C328" i="61"/>
  <c r="D328" i="61"/>
  <c r="C499" i="63"/>
  <c r="E180" i="63"/>
  <c r="E137" i="47"/>
  <c r="D347" i="61"/>
  <c r="C366" i="63"/>
  <c r="D318" i="61"/>
  <c r="C221" i="63"/>
  <c r="C428" i="63"/>
  <c r="D44" i="61"/>
  <c r="B428" i="63"/>
  <c r="C44" i="61"/>
  <c r="D386" i="61"/>
  <c r="C238" i="63"/>
  <c r="C376" i="63"/>
  <c r="D387" i="61"/>
  <c r="D133" i="61"/>
  <c r="C89" i="63"/>
  <c r="E43" i="47"/>
  <c r="E89" i="63"/>
  <c r="D185" i="61"/>
  <c r="C115" i="63"/>
  <c r="D145" i="61"/>
  <c r="C47" i="63"/>
  <c r="AR46" i="47"/>
  <c r="C299" i="63"/>
  <c r="D79" i="61"/>
  <c r="C248" i="63"/>
  <c r="D426" i="61"/>
  <c r="AR119" i="47"/>
  <c r="C157" i="63"/>
  <c r="D385" i="61"/>
  <c r="D450" i="61"/>
  <c r="C254" i="63"/>
  <c r="B489" i="63"/>
  <c r="C288" i="61"/>
  <c r="D288" i="61"/>
  <c r="C489" i="63"/>
  <c r="E288" i="61"/>
  <c r="D489" i="63"/>
  <c r="D317" i="61"/>
  <c r="C140" i="63"/>
  <c r="E54" i="63"/>
  <c r="E37" i="47"/>
  <c r="C54" i="63"/>
  <c r="D109" i="61"/>
  <c r="C180" i="61"/>
  <c r="B462" i="63"/>
  <c r="D462" i="63"/>
  <c r="E180" i="61"/>
  <c r="E31" i="47"/>
  <c r="E76" i="63"/>
  <c r="D56" i="61"/>
  <c r="C431" i="63"/>
  <c r="E146" i="63"/>
  <c r="E116" i="47"/>
  <c r="C184" i="63"/>
  <c r="D493" i="61"/>
  <c r="E184" i="63"/>
  <c r="E111" i="47"/>
  <c r="D222" i="61"/>
  <c r="C202" i="63"/>
  <c r="B485" i="63"/>
  <c r="C272" i="61"/>
  <c r="E121" i="47"/>
  <c r="E160" i="63"/>
  <c r="D397" i="61"/>
  <c r="C160" i="63"/>
  <c r="C234" i="63"/>
  <c r="D370" i="61"/>
  <c r="C300" i="63"/>
  <c r="D83" i="61"/>
  <c r="D115" i="61"/>
  <c r="C308" i="63"/>
  <c r="AR103" i="47"/>
  <c r="D393" i="61"/>
  <c r="C159" i="63"/>
  <c r="D14" i="61"/>
  <c r="C15" i="63"/>
  <c r="AR88" i="47"/>
  <c r="C383" i="63"/>
  <c r="D415" i="61"/>
  <c r="C378" i="63"/>
  <c r="D395" i="61"/>
  <c r="C368" i="61"/>
  <c r="B509" i="63"/>
  <c r="D509" i="63"/>
  <c r="E368" i="61"/>
  <c r="B422" i="63"/>
  <c r="C20" i="61"/>
  <c r="D101" i="61"/>
  <c r="C62" i="63"/>
  <c r="C453" i="63"/>
  <c r="D144" i="61"/>
  <c r="D162" i="61"/>
  <c r="C75" i="63"/>
  <c r="D391" i="61"/>
  <c r="C377" i="63"/>
  <c r="E97" i="47"/>
  <c r="E133" i="63"/>
  <c r="D289" i="61"/>
  <c r="C133" i="63"/>
  <c r="AR148" i="47"/>
  <c r="E148" i="47"/>
  <c r="E199" i="63"/>
  <c r="E117" i="47"/>
  <c r="E156" i="63"/>
  <c r="D155" i="61"/>
  <c r="C318" i="63"/>
  <c r="D477" i="63"/>
  <c r="E240" i="61"/>
  <c r="C477" i="63"/>
  <c r="D240" i="61"/>
  <c r="D150" i="61"/>
  <c r="C70" i="63"/>
  <c r="B496" i="63"/>
  <c r="C316" i="61"/>
  <c r="D496" i="63"/>
  <c r="E316" i="61"/>
  <c r="E183" i="63"/>
  <c r="E132" i="47"/>
  <c r="AR132" i="47"/>
  <c r="D420" i="61"/>
  <c r="C522" i="63"/>
  <c r="C420" i="61"/>
  <c r="B522" i="63"/>
  <c r="D445" i="61"/>
  <c r="C172" i="63"/>
  <c r="E172" i="63"/>
  <c r="E80" i="47"/>
  <c r="D94" i="61"/>
  <c r="C39" i="63"/>
  <c r="E268" i="61"/>
  <c r="D484" i="63"/>
  <c r="D235" i="61"/>
  <c r="C338" i="63"/>
  <c r="AR45" i="47"/>
  <c r="C296" i="61"/>
  <c r="B491" i="63"/>
  <c r="D500" i="63"/>
  <c r="E332" i="61"/>
  <c r="C500" i="63"/>
  <c r="D332" i="61"/>
  <c r="D293" i="61"/>
  <c r="C134" i="63"/>
  <c r="E134" i="63"/>
  <c r="E107" i="47"/>
  <c r="D106" i="61"/>
  <c r="C56" i="63"/>
  <c r="D334" i="61"/>
  <c r="C225" i="63"/>
  <c r="C309" i="63"/>
  <c r="D119" i="61"/>
  <c r="E256" i="61"/>
  <c r="D481" i="63"/>
  <c r="C26" i="63"/>
  <c r="D37" i="61"/>
  <c r="AR19" i="47"/>
  <c r="AR106" i="47"/>
  <c r="E106" i="47"/>
  <c r="E155" i="63"/>
  <c r="D498" i="61"/>
  <c r="C266" i="63"/>
  <c r="D468" i="63"/>
  <c r="E204" i="61"/>
  <c r="C204" i="61"/>
  <c r="B468" i="63"/>
  <c r="C172" i="61"/>
  <c r="B460" i="63"/>
  <c r="C81" i="63"/>
  <c r="D153" i="61"/>
  <c r="C503" i="63"/>
  <c r="D344" i="61"/>
  <c r="C236" i="63"/>
  <c r="D378" i="61"/>
  <c r="C283" i="63"/>
  <c r="D15" i="61"/>
  <c r="E220" i="61"/>
  <c r="D472" i="63"/>
  <c r="D486" i="63"/>
  <c r="E276" i="61"/>
  <c r="B486" i="63"/>
  <c r="C276" i="61"/>
  <c r="D433" i="61"/>
  <c r="C169" i="63"/>
  <c r="E33" i="47"/>
  <c r="E57" i="63"/>
  <c r="D89" i="61"/>
  <c r="C44" i="63"/>
  <c r="B540" i="63"/>
  <c r="C492" i="61"/>
  <c r="D211" i="61"/>
  <c r="C332" i="63"/>
  <c r="D442" i="63"/>
  <c r="E100" i="61"/>
  <c r="C224" i="63"/>
  <c r="D330" i="61"/>
  <c r="D236" i="61"/>
  <c r="C476" i="63"/>
  <c r="B476" i="63"/>
  <c r="C236" i="61"/>
  <c r="D392" i="61"/>
  <c r="C515" i="63"/>
  <c r="E392" i="61"/>
  <c r="D515" i="63"/>
  <c r="E424" i="61"/>
  <c r="D523" i="63"/>
  <c r="C424" i="61"/>
  <c r="B523" i="63"/>
  <c r="C82" i="63"/>
  <c r="D142" i="61"/>
  <c r="D88" i="61"/>
  <c r="C439" i="63"/>
  <c r="E348" i="61"/>
  <c r="D504" i="63"/>
  <c r="B504" i="63"/>
  <c r="C348" i="61"/>
  <c r="E177" i="63"/>
  <c r="E113" i="47"/>
  <c r="D465" i="61"/>
  <c r="C177" i="63"/>
  <c r="D163" i="61"/>
  <c r="C320" i="63"/>
  <c r="C395" i="63"/>
  <c r="D463" i="61"/>
  <c r="AR99" i="47"/>
  <c r="D274" i="61"/>
  <c r="C210" i="63"/>
  <c r="D191" i="61"/>
  <c r="C327" i="63"/>
  <c r="C300" i="61"/>
  <c r="B492" i="63"/>
  <c r="E146" i="47"/>
  <c r="E197" i="63"/>
  <c r="AR146" i="47"/>
  <c r="AR87" i="47"/>
  <c r="D345" i="61"/>
  <c r="C147" i="63"/>
  <c r="C342" i="63"/>
  <c r="D251" i="61"/>
  <c r="C99" i="63"/>
  <c r="D206" i="61"/>
  <c r="D203" i="61"/>
  <c r="C330" i="63"/>
  <c r="AR134" i="47"/>
  <c r="C245" i="63"/>
  <c r="D414" i="61"/>
  <c r="D452" i="61"/>
  <c r="C530" i="63"/>
  <c r="D337" i="61"/>
  <c r="C145" i="63"/>
  <c r="E25" i="47"/>
  <c r="E28" i="63"/>
  <c r="D61" i="61"/>
  <c r="C28" i="63"/>
  <c r="C396" i="63"/>
  <c r="D467" i="61"/>
  <c r="C149" i="63"/>
  <c r="D353" i="61"/>
  <c r="D248" i="61"/>
  <c r="C479" i="63"/>
  <c r="C261" i="63"/>
  <c r="D478" i="61"/>
  <c r="AR129" i="47"/>
  <c r="E142" i="63"/>
  <c r="E129" i="47"/>
  <c r="D331" i="61"/>
  <c r="C362" i="63"/>
  <c r="C295" i="63"/>
  <c r="D63" i="61"/>
  <c r="D362" i="61"/>
  <c r="C232" i="63"/>
  <c r="D6" i="61"/>
  <c r="C17" i="63"/>
  <c r="AR118" i="47"/>
  <c r="D301" i="61"/>
  <c r="C136" i="63"/>
  <c r="C505" i="63"/>
  <c r="D352" i="61"/>
  <c r="C352" i="61"/>
  <c r="B505" i="63"/>
  <c r="D350" i="61"/>
  <c r="C229" i="63"/>
  <c r="D209" i="61"/>
  <c r="C87" i="63"/>
  <c r="C60" i="63"/>
  <c r="D118" i="61"/>
  <c r="AR142" i="47"/>
  <c r="D77" i="61"/>
  <c r="C61" i="63"/>
  <c r="D475" i="61"/>
  <c r="C398" i="63"/>
  <c r="AR66" i="47"/>
  <c r="C107" i="63"/>
  <c r="D225" i="61"/>
  <c r="C470" i="63"/>
  <c r="D212" i="61"/>
  <c r="C212" i="61"/>
  <c r="B470" i="63"/>
  <c r="E212" i="61"/>
  <c r="D470" i="63"/>
  <c r="C128" i="63"/>
  <c r="D269" i="61"/>
  <c r="C387" i="63"/>
  <c r="D431" i="61"/>
  <c r="E137" i="63"/>
  <c r="E135" i="47"/>
  <c r="AR135" i="47"/>
  <c r="C252" i="63"/>
  <c r="D442" i="61"/>
  <c r="AR30" i="47"/>
  <c r="E40" i="63"/>
  <c r="E30" i="47"/>
  <c r="C10" i="63"/>
  <c r="D22" i="61"/>
  <c r="B437" i="63"/>
  <c r="C80" i="61"/>
  <c r="C437" i="63"/>
  <c r="D80" i="61"/>
  <c r="AR128" i="47"/>
  <c r="D84" i="61"/>
  <c r="C438" i="63"/>
  <c r="B438" i="63"/>
  <c r="C84" i="61"/>
  <c r="C310" i="63"/>
  <c r="D123" i="61"/>
  <c r="B539" i="63"/>
  <c r="C488" i="61"/>
  <c r="D539" i="63"/>
  <c r="E488" i="61"/>
  <c r="C156" i="61"/>
  <c r="B456" i="63"/>
  <c r="C456" i="63"/>
  <c r="D156" i="61"/>
  <c r="D456" i="63"/>
  <c r="E156" i="61"/>
  <c r="C184" i="61"/>
  <c r="B463" i="63"/>
  <c r="D249" i="61"/>
  <c r="C121" i="63"/>
  <c r="E121" i="63"/>
  <c r="E72" i="47"/>
  <c r="D315" i="61"/>
  <c r="C358" i="63"/>
  <c r="E280" i="61"/>
  <c r="D487" i="63"/>
  <c r="D224" i="61"/>
  <c r="C473" i="63"/>
  <c r="E224" i="61"/>
  <c r="D473" i="63"/>
  <c r="D319" i="61"/>
  <c r="C359" i="63"/>
  <c r="B432" i="63"/>
  <c r="C60" i="61"/>
  <c r="D432" i="63"/>
  <c r="E60" i="61"/>
  <c r="B521" i="63"/>
  <c r="C416" i="61"/>
  <c r="D479" i="61"/>
  <c r="C399" i="63"/>
  <c r="D33" i="61"/>
  <c r="C19" i="63"/>
  <c r="D59" i="61"/>
  <c r="C294" i="63"/>
  <c r="C335" i="63"/>
  <c r="D223" i="61"/>
  <c r="B494" i="63"/>
  <c r="C308" i="61"/>
  <c r="C494" i="63"/>
  <c r="D308" i="61"/>
  <c r="AR22" i="47"/>
  <c r="D49" i="61"/>
  <c r="C33" i="63"/>
  <c r="D132" i="61"/>
  <c r="C450" i="63"/>
  <c r="E124" i="61"/>
  <c r="D448" i="63"/>
  <c r="C124" i="61"/>
  <c r="B448" i="63"/>
  <c r="C440" i="63"/>
  <c r="D92" i="61"/>
  <c r="D440" i="63"/>
  <c r="E92" i="61"/>
  <c r="C259" i="63"/>
  <c r="D470" i="61"/>
  <c r="E440" i="61"/>
  <c r="D527" i="63"/>
  <c r="D440" i="61"/>
  <c r="C527" i="63"/>
  <c r="D323" i="61"/>
  <c r="C360" i="63"/>
  <c r="D96" i="61"/>
  <c r="C441" i="63"/>
  <c r="C445" i="63"/>
  <c r="D112" i="61"/>
  <c r="C112" i="61"/>
  <c r="B445" i="63"/>
  <c r="D355" i="61"/>
  <c r="C368" i="63"/>
  <c r="D302" i="61"/>
  <c r="C217" i="63"/>
  <c r="D484" i="61"/>
  <c r="C538" i="63"/>
  <c r="AR91" i="47"/>
  <c r="AR13" i="47"/>
  <c r="D13" i="61"/>
  <c r="C6" i="63"/>
  <c r="AR38" i="47"/>
  <c r="E175" i="63"/>
  <c r="E94" i="47"/>
  <c r="D457" i="61"/>
  <c r="C175" i="63"/>
  <c r="AR94" i="47"/>
  <c r="D343" i="61"/>
  <c r="C365" i="63"/>
  <c r="E63" i="47"/>
  <c r="E108" i="63"/>
  <c r="AR63" i="47"/>
  <c r="B425" i="63"/>
  <c r="C32" i="61"/>
  <c r="D239" i="61"/>
  <c r="C339" i="63"/>
  <c r="AR144" i="47"/>
  <c r="E195" i="63"/>
  <c r="E144" i="47"/>
  <c r="D74" i="61"/>
  <c r="C49" i="63"/>
  <c r="E17" i="47"/>
  <c r="E34" i="63"/>
  <c r="D29" i="61"/>
  <c r="C34" i="63"/>
  <c r="B501" i="63"/>
  <c r="C336" i="61"/>
  <c r="D336" i="61"/>
  <c r="C501" i="63"/>
  <c r="D143" i="61"/>
  <c r="C315" i="63"/>
  <c r="D457" i="63"/>
  <c r="E160" i="61"/>
  <c r="D160" i="61"/>
  <c r="C457" i="63"/>
  <c r="E312" i="61"/>
  <c r="D495" i="63"/>
  <c r="D312" i="61"/>
  <c r="C495" i="63"/>
  <c r="E147" i="47"/>
  <c r="E198" i="63"/>
  <c r="AR147" i="47"/>
  <c r="C347" i="63"/>
  <c r="D271" i="61"/>
  <c r="D17" i="61"/>
  <c r="C7" i="63"/>
  <c r="E7" i="63"/>
  <c r="E14" i="47"/>
  <c r="C293" i="63"/>
  <c r="D55" i="61"/>
  <c r="C525" i="63"/>
  <c r="D432" i="61"/>
  <c r="C432" i="61"/>
  <c r="B525" i="63"/>
  <c r="C52" i="61"/>
  <c r="B430" i="63"/>
  <c r="C173" i="63"/>
  <c r="D449" i="61"/>
  <c r="AR82" i="47"/>
  <c r="C384" i="63"/>
  <c r="D419" i="61"/>
  <c r="D238" i="61"/>
  <c r="C203" i="63"/>
  <c r="C397" i="63"/>
  <c r="D471" i="61"/>
  <c r="D476" i="61"/>
  <c r="C536" i="63"/>
  <c r="C476" i="61"/>
  <c r="B536" i="63"/>
  <c r="AR84" i="47"/>
  <c r="D524" i="63"/>
  <c r="E428" i="61"/>
  <c r="C42" i="63"/>
  <c r="D102" i="61"/>
  <c r="C117" i="63"/>
  <c r="D241" i="61"/>
  <c r="AR101" i="47"/>
  <c r="C141" i="63"/>
  <c r="D321" i="61"/>
  <c r="D57" i="61"/>
  <c r="C14" i="63"/>
  <c r="C400" i="61"/>
  <c r="B517" i="63"/>
  <c r="C517" i="63"/>
  <c r="D400" i="61"/>
  <c r="E188" i="63"/>
  <c r="E133" i="47"/>
  <c r="D509" i="61"/>
  <c r="C188" i="63"/>
  <c r="D192" i="61"/>
  <c r="C465" i="63"/>
  <c r="C192" i="61"/>
  <c r="B465" i="63"/>
  <c r="AR104" i="47"/>
  <c r="D490" i="63"/>
  <c r="E292" i="61"/>
  <c r="B490" i="63"/>
  <c r="C292" i="61"/>
  <c r="D16" i="61"/>
  <c r="C421" i="63"/>
  <c r="C16" i="61"/>
  <c r="B421" i="63"/>
  <c r="D421" i="63"/>
  <c r="E16" i="61"/>
  <c r="C312" i="63"/>
  <c r="D131" i="61"/>
  <c r="D486" i="61"/>
  <c r="C263" i="63"/>
  <c r="E41" i="47"/>
  <c r="E69" i="63"/>
  <c r="C541" i="63"/>
  <c r="D496" i="61"/>
  <c r="D472" i="61"/>
  <c r="C535" i="63"/>
  <c r="C472" i="61"/>
  <c r="B535" i="63"/>
  <c r="B426" i="63"/>
  <c r="C36" i="61"/>
  <c r="D426" i="63"/>
  <c r="E36" i="61"/>
  <c r="D36" i="61"/>
  <c r="C426" i="63"/>
  <c r="C313" i="63"/>
  <c r="D135" i="61"/>
  <c r="D138" i="61"/>
  <c r="C78" i="63"/>
  <c r="C306" i="63"/>
  <c r="D107" i="61"/>
  <c r="E39" i="47"/>
  <c r="E66" i="63"/>
  <c r="E54" i="47"/>
  <c r="E92" i="63"/>
  <c r="C92" i="63"/>
  <c r="D173" i="61"/>
  <c r="AR126" i="47"/>
  <c r="B443" i="63"/>
  <c r="C104" i="61"/>
  <c r="D122" i="61"/>
  <c r="C71" i="63"/>
  <c r="D412" i="61"/>
  <c r="C520" i="63"/>
  <c r="B520" i="63"/>
  <c r="C412" i="61"/>
  <c r="D68" i="61"/>
  <c r="C434" i="63"/>
  <c r="D242" i="61"/>
  <c r="C120" i="63"/>
  <c r="B512" i="63"/>
  <c r="C380" i="61"/>
  <c r="D21" i="61"/>
  <c r="C16" i="63"/>
  <c r="C357" i="63"/>
  <c r="D311" i="61"/>
  <c r="C319" i="63"/>
  <c r="D159" i="61"/>
  <c r="D422" i="61"/>
  <c r="C247" i="63"/>
  <c r="D43" i="61"/>
  <c r="C290" i="63"/>
  <c r="D229" i="61"/>
  <c r="C112" i="63"/>
  <c r="E67" i="47"/>
  <c r="E112" i="63"/>
  <c r="B474" i="63"/>
  <c r="C228" i="61"/>
  <c r="C474" i="63"/>
  <c r="D228" i="61"/>
  <c r="E83" i="47"/>
  <c r="E132" i="63"/>
  <c r="D471" i="63"/>
  <c r="E216" i="61"/>
  <c r="C471" i="63"/>
  <c r="D216" i="61"/>
  <c r="E93" i="63"/>
  <c r="E53" i="47"/>
  <c r="D169" i="61"/>
  <c r="C93" i="63"/>
  <c r="C154" i="63"/>
  <c r="D373" i="61"/>
  <c r="E81" i="47"/>
  <c r="E154" i="63"/>
  <c r="E113" i="63"/>
  <c r="E69" i="47"/>
  <c r="D137" i="61"/>
  <c r="C74" i="63"/>
  <c r="E284" i="61"/>
  <c r="D488" i="63"/>
  <c r="D374" i="61"/>
  <c r="C235" i="63"/>
  <c r="D227" i="61"/>
  <c r="C336" i="63"/>
  <c r="D58" i="61"/>
  <c r="C58" i="63"/>
  <c r="D95" i="61"/>
  <c r="C303" i="63"/>
  <c r="AR55" i="47"/>
  <c r="AR108" i="47"/>
  <c r="C185" i="63"/>
  <c r="D497" i="61"/>
  <c r="E102" i="47"/>
  <c r="E185" i="63"/>
  <c r="B447" i="63"/>
  <c r="C120" i="61"/>
  <c r="C447" i="63"/>
  <c r="D120" i="61"/>
  <c r="C543" i="63"/>
  <c r="D504" i="61"/>
  <c r="AR115" i="47"/>
  <c r="C511" i="63"/>
  <c r="D376" i="61"/>
  <c r="E376" i="61"/>
  <c r="D511" i="63"/>
  <c r="D329" i="61"/>
  <c r="C143" i="63"/>
  <c r="D310" i="61"/>
  <c r="C219" i="63"/>
  <c r="C126" i="63"/>
  <c r="D261" i="61"/>
  <c r="B454" i="63"/>
  <c r="C148" i="61"/>
  <c r="E148" i="61"/>
  <c r="D454" i="63"/>
  <c r="D230" i="61"/>
  <c r="C110" i="63"/>
  <c r="E90" i="47"/>
  <c r="E138" i="63"/>
  <c r="AR90" i="47"/>
  <c r="C334" i="63"/>
  <c r="D219" i="61"/>
  <c r="C116" i="61"/>
  <c r="B446" i="63"/>
  <c r="D116" i="61"/>
  <c r="C446" i="63"/>
  <c r="E260" i="61"/>
  <c r="D482" i="63"/>
  <c r="B482" i="63"/>
  <c r="C260" i="61"/>
  <c r="B516" i="63"/>
  <c r="C396" i="61"/>
  <c r="D528" i="63"/>
  <c r="E444" i="61"/>
  <c r="D444" i="61"/>
  <c r="C528" i="63"/>
  <c r="D455" i="61"/>
  <c r="C393" i="63"/>
  <c r="D175" i="61"/>
  <c r="C323" i="63"/>
  <c r="D252" i="61"/>
  <c r="C480" i="63"/>
  <c r="C252" i="61"/>
  <c r="B480" i="63"/>
  <c r="C456" i="61"/>
  <c r="B531" i="63"/>
  <c r="D456" i="61"/>
  <c r="C531" i="63"/>
  <c r="C11" i="63"/>
  <c r="D65" i="61"/>
  <c r="AR26" i="47"/>
  <c r="C232" i="61"/>
  <c r="B475" i="63"/>
  <c r="D398" i="61"/>
  <c r="C241" i="63"/>
  <c r="E460" i="61"/>
  <c r="D532" i="63"/>
  <c r="C532" i="63"/>
  <c r="D460" i="61"/>
  <c r="L139" i="47"/>
  <c r="X147" i="47"/>
  <c r="R145" i="47"/>
  <c r="R147" i="47"/>
  <c r="R148" i="47"/>
  <c r="V144" i="47"/>
  <c r="V143" i="47"/>
  <c r="J140" i="47"/>
  <c r="L144" i="47"/>
  <c r="R140" i="47"/>
  <c r="P143" i="47"/>
  <c r="V142" i="47"/>
  <c r="P145" i="47"/>
  <c r="R146" i="47"/>
  <c r="J145" i="47"/>
  <c r="P140" i="47"/>
  <c r="V147" i="47"/>
  <c r="P148" i="47"/>
  <c r="X148" i="47"/>
  <c r="L142" i="47"/>
  <c r="J143" i="47"/>
  <c r="R144" i="47"/>
  <c r="J144" i="47"/>
  <c r="P139" i="47"/>
  <c r="V140" i="47"/>
  <c r="X144" i="47"/>
  <c r="L148" i="47"/>
  <c r="L141" i="47"/>
  <c r="L147" i="47"/>
  <c r="X142" i="47"/>
  <c r="L143" i="47"/>
  <c r="P144" i="47"/>
  <c r="V146" i="47"/>
  <c r="L140" i="47"/>
  <c r="X140" i="47"/>
  <c r="X139" i="47"/>
  <c r="R141" i="47"/>
  <c r="J147" i="47"/>
  <c r="P147" i="47"/>
  <c r="X146" i="47"/>
  <c r="V141" i="47"/>
  <c r="V148" i="47"/>
  <c r="J148" i="47"/>
  <c r="R142" i="47"/>
  <c r="X145" i="47"/>
  <c r="P141" i="47"/>
  <c r="J146" i="47"/>
  <c r="X141" i="47"/>
  <c r="V139" i="47"/>
  <c r="J141" i="47"/>
  <c r="V145" i="47"/>
  <c r="X143" i="47"/>
  <c r="J142" i="47"/>
  <c r="L145" i="47"/>
  <c r="P142" i="47"/>
  <c r="R143" i="47"/>
  <c r="R139" i="47"/>
  <c r="L146" i="47"/>
  <c r="P146" i="47"/>
  <c r="J139" i="47"/>
  <c r="C454" i="61" l="1"/>
  <c r="B255" i="63"/>
  <c r="C313" i="61"/>
  <c r="A75" i="47"/>
  <c r="G75" i="47" s="1"/>
  <c r="B75" i="47" s="1"/>
  <c r="B139" i="63"/>
  <c r="D413" i="63"/>
  <c r="D213" i="63"/>
  <c r="E286" i="61"/>
  <c r="C254" i="61"/>
  <c r="B205" i="63"/>
  <c r="B416" i="63"/>
  <c r="E257" i="61"/>
  <c r="D125" i="63"/>
  <c r="C369" i="61"/>
  <c r="A120" i="47"/>
  <c r="B153" i="63"/>
  <c r="D274" i="63"/>
  <c r="E474" i="61"/>
  <c r="D260" i="63"/>
  <c r="E5" i="61"/>
  <c r="D5" i="63"/>
  <c r="C247" i="61"/>
  <c r="B341" i="63"/>
  <c r="E441" i="61"/>
  <c r="D171" i="63"/>
  <c r="B265" i="63"/>
  <c r="C494" i="61"/>
  <c r="E485" i="61"/>
  <c r="D182" i="63"/>
  <c r="E149" i="61"/>
  <c r="D84" i="63"/>
  <c r="E367" i="61"/>
  <c r="D371" i="63"/>
  <c r="B174" i="63"/>
  <c r="A93" i="47"/>
  <c r="C453" i="61"/>
  <c r="C405" i="61"/>
  <c r="B162" i="63"/>
  <c r="A110" i="47"/>
  <c r="G110" i="47" s="1"/>
  <c r="B110" i="47" s="1"/>
  <c r="C110" i="61"/>
  <c r="B63" i="63"/>
  <c r="C53" i="61"/>
  <c r="B48" i="63"/>
  <c r="A23" i="47"/>
  <c r="B285" i="63"/>
  <c r="C23" i="61"/>
  <c r="D240" i="63"/>
  <c r="E394" i="61"/>
  <c r="C273" i="61"/>
  <c r="B129" i="63"/>
  <c r="A77" i="47"/>
  <c r="B381" i="63"/>
  <c r="C407" i="61"/>
  <c r="A141" i="47"/>
  <c r="B192" i="63"/>
  <c r="D41" i="63"/>
  <c r="E82" i="61"/>
  <c r="E501" i="61"/>
  <c r="D186" i="63"/>
  <c r="B370" i="63"/>
  <c r="C363" i="61"/>
  <c r="E385" i="61"/>
  <c r="D157" i="63"/>
  <c r="D62" i="63"/>
  <c r="E101" i="61"/>
  <c r="E270" i="61"/>
  <c r="D209" i="63"/>
  <c r="E93" i="61"/>
  <c r="D57" i="63"/>
  <c r="D390" i="63"/>
  <c r="E443" i="61"/>
  <c r="D28" i="63"/>
  <c r="E61" i="61"/>
  <c r="D272" i="63"/>
  <c r="C315" i="61"/>
  <c r="B358" i="63"/>
  <c r="E190" i="61"/>
  <c r="D101" i="63"/>
  <c r="E213" i="61"/>
  <c r="D108" i="63"/>
  <c r="D164" i="63"/>
  <c r="E413" i="61"/>
  <c r="B78" i="63"/>
  <c r="C138" i="61"/>
  <c r="D154" i="63"/>
  <c r="E373" i="61"/>
  <c r="B219" i="63"/>
  <c r="C310" i="61"/>
  <c r="E295" i="61"/>
  <c r="D353" i="63"/>
  <c r="E382" i="61"/>
  <c r="D237" i="63"/>
  <c r="E193" i="61"/>
  <c r="D77" i="63"/>
  <c r="B167" i="63"/>
  <c r="C425" i="61"/>
  <c r="A109" i="47"/>
  <c r="G109" i="47" s="1"/>
  <c r="B109" i="47" s="1"/>
  <c r="B223" i="63"/>
  <c r="C326" i="61"/>
  <c r="C335" i="61"/>
  <c r="B363" i="63"/>
  <c r="B379" i="63"/>
  <c r="C399" i="61"/>
  <c r="D67" i="63"/>
  <c r="E181" i="61"/>
  <c r="B227" i="63"/>
  <c r="C342" i="61"/>
  <c r="E25" i="61"/>
  <c r="D37" i="63"/>
  <c r="B47" i="63"/>
  <c r="C145" i="61"/>
  <c r="A46" i="47"/>
  <c r="D234" i="63"/>
  <c r="E370" i="61"/>
  <c r="A148" i="47"/>
  <c r="B199" i="63"/>
  <c r="E189" i="61"/>
  <c r="D88" i="63"/>
  <c r="A86" i="47"/>
  <c r="C433" i="61"/>
  <c r="B169" i="63"/>
  <c r="B340" i="63"/>
  <c r="C243" i="61"/>
  <c r="D145" i="63"/>
  <c r="E337" i="61"/>
  <c r="B136" i="63"/>
  <c r="C301" i="61"/>
  <c r="A118" i="47"/>
  <c r="B252" i="63"/>
  <c r="C442" i="61"/>
  <c r="E479" i="61"/>
  <c r="D399" i="63"/>
  <c r="E355" i="61"/>
  <c r="D368" i="63"/>
  <c r="D198" i="63"/>
  <c r="B392" i="63"/>
  <c r="C451" i="61"/>
  <c r="B30" i="63"/>
  <c r="C42" i="61"/>
  <c r="D357" i="63"/>
  <c r="E311" i="61"/>
  <c r="B74" i="63"/>
  <c r="C137" i="61"/>
  <c r="A44" i="47"/>
  <c r="C329" i="61"/>
  <c r="B143" i="63"/>
  <c r="A127" i="47"/>
  <c r="D241" i="63"/>
  <c r="E398" i="61"/>
  <c r="B201" i="63"/>
  <c r="C218" i="61"/>
  <c r="C458" i="61"/>
  <c r="B256" i="63"/>
  <c r="B237" i="63"/>
  <c r="C382" i="61"/>
  <c r="E18" i="61"/>
  <c r="D31" i="63"/>
  <c r="B212" i="63"/>
  <c r="C282" i="61"/>
  <c r="B77" i="63"/>
  <c r="C193" i="61"/>
  <c r="A59" i="47"/>
  <c r="G59" i="47" s="1"/>
  <c r="B59" i="47" s="1"/>
  <c r="C59" i="47" s="1"/>
  <c r="AM59" i="47" s="1"/>
  <c r="D279" i="63"/>
  <c r="B361" i="63"/>
  <c r="C327" i="61"/>
  <c r="E339" i="61"/>
  <c r="D364" i="63"/>
  <c r="D402" i="63"/>
  <c r="E491" i="61"/>
  <c r="D167" i="63"/>
  <c r="E425" i="61"/>
  <c r="B226" i="63"/>
  <c r="C338" i="61"/>
  <c r="E73" i="61"/>
  <c r="D32" i="63"/>
  <c r="D194" i="63"/>
  <c r="D223" i="63"/>
  <c r="E326" i="61"/>
  <c r="B314" i="63"/>
  <c r="C139" i="61"/>
  <c r="E503" i="61"/>
  <c r="D405" i="63"/>
  <c r="C358" i="61"/>
  <c r="B231" i="63"/>
  <c r="D363" i="63"/>
  <c r="E335" i="61"/>
  <c r="D375" i="63"/>
  <c r="E383" i="61"/>
  <c r="C514" i="61"/>
  <c r="B270" i="63"/>
  <c r="B311" i="63"/>
  <c r="C127" i="61"/>
  <c r="E399" i="61"/>
  <c r="D379" i="63"/>
  <c r="D95" i="63"/>
  <c r="E166" i="61"/>
  <c r="E233" i="61"/>
  <c r="D106" i="63"/>
  <c r="E121" i="61"/>
  <c r="D64" i="63"/>
  <c r="C181" i="61"/>
  <c r="A56" i="47"/>
  <c r="G56" i="47" s="1"/>
  <c r="B56" i="47" s="1"/>
  <c r="D56" i="47" s="1"/>
  <c r="B67" i="63"/>
  <c r="D268" i="63"/>
  <c r="E506" i="61"/>
  <c r="D281" i="63"/>
  <c r="E7" i="61"/>
  <c r="E469" i="61"/>
  <c r="D178" i="63"/>
  <c r="D227" i="63"/>
  <c r="E342" i="61"/>
  <c r="E406" i="61"/>
  <c r="D243" i="63"/>
  <c r="C495" i="61"/>
  <c r="B403" i="63"/>
  <c r="A16" i="47"/>
  <c r="B37" i="63"/>
  <c r="C25" i="61"/>
  <c r="C354" i="61"/>
  <c r="B230" i="63"/>
  <c r="B366" i="63"/>
  <c r="C347" i="61"/>
  <c r="C386" i="61"/>
  <c r="B238" i="63"/>
  <c r="E145" i="61"/>
  <c r="D47" i="63"/>
  <c r="E186" i="61"/>
  <c r="D59" i="63"/>
  <c r="B54" i="63"/>
  <c r="A37" i="47"/>
  <c r="G37" i="47" s="1"/>
  <c r="B37" i="47" s="1"/>
  <c r="C109" i="61"/>
  <c r="C493" i="61"/>
  <c r="B184" i="63"/>
  <c r="A111" i="47"/>
  <c r="B234" i="63"/>
  <c r="C370" i="61"/>
  <c r="B159" i="63"/>
  <c r="C393" i="61"/>
  <c r="A103" i="47"/>
  <c r="E395" i="61"/>
  <c r="D378" i="63"/>
  <c r="D52" i="63"/>
  <c r="E134" i="61"/>
  <c r="D199" i="63"/>
  <c r="D70" i="63"/>
  <c r="E150" i="61"/>
  <c r="E94" i="61"/>
  <c r="D39" i="63"/>
  <c r="B410" i="63"/>
  <c r="A58" i="47"/>
  <c r="G58" i="47" s="1"/>
  <c r="B58" i="47" s="1"/>
  <c r="C58" i="47" s="1"/>
  <c r="AM58" i="47" s="1"/>
  <c r="B88" i="63"/>
  <c r="C189" i="61"/>
  <c r="C246" i="61"/>
  <c r="B118" i="63"/>
  <c r="C291" i="61"/>
  <c r="B352" i="63"/>
  <c r="C511" i="61"/>
  <c r="B407" i="63"/>
  <c r="E433" i="61"/>
  <c r="D169" i="63"/>
  <c r="C211" i="61"/>
  <c r="B332" i="63"/>
  <c r="E287" i="61"/>
  <c r="D351" i="63"/>
  <c r="D395" i="63"/>
  <c r="E463" i="61"/>
  <c r="E243" i="61"/>
  <c r="D340" i="63"/>
  <c r="B197" i="63"/>
  <c r="A146" i="47"/>
  <c r="G146" i="47" s="1"/>
  <c r="B146" i="47" s="1"/>
  <c r="D342" i="63"/>
  <c r="E251" i="61"/>
  <c r="C66" i="61"/>
  <c r="B96" i="63"/>
  <c r="A95" i="47"/>
  <c r="B145" i="63"/>
  <c r="C337" i="61"/>
  <c r="E478" i="61"/>
  <c r="D261" i="63"/>
  <c r="E63" i="61"/>
  <c r="D295" i="63"/>
  <c r="D136" i="63"/>
  <c r="E301" i="61"/>
  <c r="B60" i="63"/>
  <c r="C118" i="61"/>
  <c r="D61" i="63"/>
  <c r="E77" i="61"/>
  <c r="B128" i="63"/>
  <c r="C269" i="61"/>
  <c r="A136" i="47"/>
  <c r="E442" i="61"/>
  <c r="D252" i="63"/>
  <c r="C30" i="61"/>
  <c r="B13" i="63"/>
  <c r="D310" i="63"/>
  <c r="E123" i="61"/>
  <c r="E249" i="61"/>
  <c r="D121" i="63"/>
  <c r="B399" i="63"/>
  <c r="C479" i="61"/>
  <c r="C49" i="61"/>
  <c r="B33" i="63"/>
  <c r="A22" i="47"/>
  <c r="C483" i="61"/>
  <c r="B400" i="63"/>
  <c r="B259" i="63"/>
  <c r="C470" i="61"/>
  <c r="C355" i="61"/>
  <c r="B368" i="63"/>
  <c r="B189" i="63"/>
  <c r="A91" i="47"/>
  <c r="C513" i="61"/>
  <c r="E343" i="61"/>
  <c r="D365" i="63"/>
  <c r="D49" i="63"/>
  <c r="E74" i="61"/>
  <c r="A147" i="47"/>
  <c r="G147" i="47" s="1"/>
  <c r="B147" i="47" s="1"/>
  <c r="B198" i="63"/>
  <c r="C55" i="61"/>
  <c r="B293" i="63"/>
  <c r="C471" i="61"/>
  <c r="B397" i="63"/>
  <c r="D117" i="63"/>
  <c r="E241" i="61"/>
  <c r="D392" i="63"/>
  <c r="E451" i="61"/>
  <c r="D284" i="63"/>
  <c r="E19" i="61"/>
  <c r="C182" i="61"/>
  <c r="B109" i="63"/>
  <c r="D30" i="63"/>
  <c r="E42" i="61"/>
  <c r="B92" i="63"/>
  <c r="C173" i="61"/>
  <c r="A54" i="47"/>
  <c r="D38" i="63"/>
  <c r="E50" i="61"/>
  <c r="B357" i="63"/>
  <c r="C311" i="61"/>
  <c r="D367" i="63"/>
  <c r="E351" i="61"/>
  <c r="B93" i="63"/>
  <c r="A53" i="47"/>
  <c r="C169" i="61"/>
  <c r="E137" i="61"/>
  <c r="D74" i="63"/>
  <c r="C227" i="61"/>
  <c r="B336" i="63"/>
  <c r="D278" i="63"/>
  <c r="D143" i="63"/>
  <c r="E329" i="61"/>
  <c r="D138" i="63"/>
  <c r="E309" i="61"/>
  <c r="C198" i="61"/>
  <c r="B98" i="63"/>
  <c r="C398" i="61"/>
  <c r="B241" i="63"/>
  <c r="B18" i="63"/>
  <c r="C54" i="61"/>
  <c r="D406" i="63"/>
  <c r="E507" i="61"/>
  <c r="E429" i="61"/>
  <c r="D168" i="63"/>
  <c r="A138" i="47"/>
  <c r="G138" i="47" s="1"/>
  <c r="B138" i="47" s="1"/>
  <c r="C138" i="47" s="1"/>
  <c r="AM138" i="47" s="1"/>
  <c r="C481" i="61"/>
  <c r="B181" i="63"/>
  <c r="B166" i="63"/>
  <c r="A131" i="47"/>
  <c r="G131" i="47" s="1"/>
  <c r="B131" i="47" s="1"/>
  <c r="C421" i="61"/>
  <c r="B394" i="63"/>
  <c r="C459" i="61"/>
  <c r="E510" i="61"/>
  <c r="D269" i="63"/>
  <c r="B317" i="63"/>
  <c r="C151" i="61"/>
  <c r="A64" i="47"/>
  <c r="B83" i="63"/>
  <c r="C217" i="61"/>
  <c r="B179" i="63"/>
  <c r="A85" i="47"/>
  <c r="C473" i="61"/>
  <c r="D20" i="63"/>
  <c r="E129" i="61"/>
  <c r="E259" i="61"/>
  <c r="D344" i="63"/>
  <c r="C130" i="61"/>
  <c r="B200" i="63"/>
  <c r="C9" i="61"/>
  <c r="B12" i="63"/>
  <c r="A12" i="47"/>
  <c r="G12" i="47" s="1"/>
  <c r="B12" i="47" s="1"/>
  <c r="D12" i="47" s="1"/>
  <c r="A50" i="47"/>
  <c r="B91" i="63"/>
  <c r="C161" i="61"/>
  <c r="B45" i="63"/>
  <c r="C62" i="61"/>
  <c r="D105" i="63"/>
  <c r="E205" i="61"/>
  <c r="B348" i="63"/>
  <c r="C275" i="61"/>
  <c r="B258" i="63"/>
  <c r="C466" i="61"/>
  <c r="E410" i="61"/>
  <c r="D244" i="63"/>
  <c r="D196" i="63"/>
  <c r="C418" i="61"/>
  <c r="B246" i="63"/>
  <c r="D158" i="63"/>
  <c r="E389" i="61"/>
  <c r="E154" i="61"/>
  <c r="D80" i="63"/>
  <c r="B275" i="63"/>
  <c r="D9" i="63"/>
  <c r="E10" i="61"/>
  <c r="C158" i="61"/>
  <c r="B36" i="63"/>
  <c r="B239" i="63"/>
  <c r="C390" i="61"/>
  <c r="E499" i="61"/>
  <c r="D404" i="63"/>
  <c r="E221" i="61"/>
  <c r="D90" i="63"/>
  <c r="E67" i="61"/>
  <c r="D296" i="63"/>
  <c r="B135" i="63"/>
  <c r="C297" i="61"/>
  <c r="A112" i="47"/>
  <c r="E375" i="61"/>
  <c r="D373" i="63"/>
  <c r="C75" i="61"/>
  <c r="B298" i="63"/>
  <c r="E90" i="61"/>
  <c r="D46" i="63"/>
  <c r="B124" i="63"/>
  <c r="A49" i="47"/>
  <c r="G49" i="47" s="1"/>
  <c r="B49" i="47" s="1"/>
  <c r="C157" i="61"/>
  <c r="B271" i="63"/>
  <c r="B233" i="63"/>
  <c r="C366" i="61"/>
  <c r="E477" i="61"/>
  <c r="D180" i="63"/>
  <c r="B211" i="63"/>
  <c r="C278" i="61"/>
  <c r="A57" i="47"/>
  <c r="C185" i="61"/>
  <c r="B115" i="63"/>
  <c r="C71" i="61"/>
  <c r="B297" i="63"/>
  <c r="B140" i="63"/>
  <c r="A124" i="47"/>
  <c r="C317" i="61"/>
  <c r="D146" i="63"/>
  <c r="E341" i="61"/>
  <c r="C397" i="61"/>
  <c r="B160" i="63"/>
  <c r="A121" i="47"/>
  <c r="C303" i="61"/>
  <c r="B355" i="63"/>
  <c r="B383" i="63"/>
  <c r="C415" i="61"/>
  <c r="C262" i="61"/>
  <c r="B207" i="63"/>
  <c r="D133" i="63"/>
  <c r="E289" i="61"/>
  <c r="D277" i="63"/>
  <c r="D343" i="63"/>
  <c r="E255" i="61"/>
  <c r="E502" i="61"/>
  <c r="D267" i="63"/>
  <c r="E178" i="61"/>
  <c r="D104" i="63"/>
  <c r="B56" i="63"/>
  <c r="C106" i="61"/>
  <c r="A19" i="47"/>
  <c r="G19" i="47" s="1"/>
  <c r="B19" i="47" s="1"/>
  <c r="C37" i="61"/>
  <c r="B26" i="63"/>
  <c r="A48" i="47"/>
  <c r="C153" i="61"/>
  <c r="B81" i="63"/>
  <c r="C15" i="61"/>
  <c r="B283" i="63"/>
  <c r="E210" i="61"/>
  <c r="D116" i="63"/>
  <c r="E142" i="61"/>
  <c r="D82" i="63"/>
  <c r="C163" i="61"/>
  <c r="B320" i="63"/>
  <c r="C191" i="61"/>
  <c r="B327" i="63"/>
  <c r="B280" i="63"/>
  <c r="E345" i="61"/>
  <c r="D147" i="63"/>
  <c r="D330" i="63"/>
  <c r="E203" i="61"/>
  <c r="E414" i="61"/>
  <c r="D245" i="63"/>
  <c r="A79" i="47"/>
  <c r="C353" i="61"/>
  <c r="B149" i="63"/>
  <c r="E331" i="61"/>
  <c r="D362" i="63"/>
  <c r="D17" i="63"/>
  <c r="E6" i="61"/>
  <c r="B87" i="63"/>
  <c r="C209" i="61"/>
  <c r="A62" i="47"/>
  <c r="G62" i="47" s="1"/>
  <c r="B62" i="47" s="1"/>
  <c r="C179" i="61"/>
  <c r="B324" i="63"/>
  <c r="D305" i="63"/>
  <c r="E103" i="61"/>
  <c r="D215" i="63"/>
  <c r="E294" i="61"/>
  <c r="E22" i="61"/>
  <c r="D10" i="63"/>
  <c r="B131" i="63"/>
  <c r="C281" i="61"/>
  <c r="A128" i="47"/>
  <c r="D409" i="63"/>
  <c r="C215" i="61"/>
  <c r="B333" i="63"/>
  <c r="C223" i="61"/>
  <c r="B335" i="63"/>
  <c r="E214" i="61"/>
  <c r="D100" i="63"/>
  <c r="C39" i="61"/>
  <c r="B289" i="63"/>
  <c r="C323" i="61"/>
  <c r="B360" i="63"/>
  <c r="B217" i="63"/>
  <c r="C302" i="61"/>
  <c r="A94" i="47"/>
  <c r="G94" i="47" s="1"/>
  <c r="B94" i="47" s="1"/>
  <c r="B175" i="63"/>
  <c r="C457" i="61"/>
  <c r="D195" i="63"/>
  <c r="D315" i="63"/>
  <c r="E143" i="61"/>
  <c r="A14" i="47"/>
  <c r="B7" i="63"/>
  <c r="C17" i="61"/>
  <c r="D203" i="63"/>
  <c r="E238" i="61"/>
  <c r="D42" i="63"/>
  <c r="E102" i="61"/>
  <c r="D188" i="63"/>
  <c r="E509" i="61"/>
  <c r="A104" i="47"/>
  <c r="G104" i="47" s="1"/>
  <c r="B104" i="47" s="1"/>
  <c r="B163" i="63"/>
  <c r="C409" i="61"/>
  <c r="E125" i="61"/>
  <c r="D69" i="63"/>
  <c r="D313" i="63"/>
  <c r="E135" i="61"/>
  <c r="D66" i="63"/>
  <c r="E117" i="61"/>
  <c r="D291" i="63"/>
  <c r="E47" i="61"/>
  <c r="D328" i="63"/>
  <c r="E195" i="61"/>
  <c r="B290" i="63"/>
  <c r="C43" i="61"/>
  <c r="D29" i="63"/>
  <c r="E41" i="61"/>
  <c r="E170" i="61"/>
  <c r="D85" i="63"/>
  <c r="C374" i="61"/>
  <c r="B235" i="63"/>
  <c r="E177" i="61"/>
  <c r="D79" i="63"/>
  <c r="B165" i="63"/>
  <c r="C417" i="61"/>
  <c r="A115" i="47"/>
  <c r="D110" i="63"/>
  <c r="E230" i="61"/>
  <c r="D393" i="63"/>
  <c r="E455" i="61"/>
  <c r="A26" i="47"/>
  <c r="C65" i="61"/>
  <c r="B11" i="63"/>
  <c r="B418" i="63"/>
  <c r="B242" i="63"/>
  <c r="C402" i="61"/>
  <c r="D53" i="63"/>
  <c r="E97" i="61"/>
  <c r="A31" i="47"/>
  <c r="G31" i="47" s="1"/>
  <c r="B31" i="47" s="1"/>
  <c r="C85" i="61"/>
  <c r="B76" i="63"/>
  <c r="C14" i="61"/>
  <c r="B15" i="63"/>
  <c r="E235" i="61"/>
  <c r="D338" i="63"/>
  <c r="D302" i="63"/>
  <c r="E91" i="61"/>
  <c r="E365" i="61"/>
  <c r="D152" i="63"/>
  <c r="E333" i="61"/>
  <c r="D144" i="63"/>
  <c r="D229" i="63"/>
  <c r="E350" i="61"/>
  <c r="E263" i="61"/>
  <c r="D345" i="63"/>
  <c r="C447" i="61"/>
  <c r="B391" i="63"/>
  <c r="E29" i="61"/>
  <c r="D34" i="63"/>
  <c r="D141" i="63"/>
  <c r="E321" i="61"/>
  <c r="C401" i="61"/>
  <c r="B161" i="63"/>
  <c r="A126" i="47"/>
  <c r="E99" i="61"/>
  <c r="D304" i="63"/>
  <c r="E219" i="61"/>
  <c r="D334" i="63"/>
  <c r="D380" i="63"/>
  <c r="E403" i="61"/>
  <c r="D288" i="63"/>
  <c r="E35" i="61"/>
  <c r="B279" i="63"/>
  <c r="C491" i="61"/>
  <c r="B402" i="63"/>
  <c r="B194" i="63"/>
  <c r="A143" i="47"/>
  <c r="G143" i="47" s="1"/>
  <c r="B143" i="47" s="1"/>
  <c r="D231" i="63"/>
  <c r="E358" i="61"/>
  <c r="D311" i="63"/>
  <c r="E127" i="61"/>
  <c r="B64" i="63"/>
  <c r="C121" i="61"/>
  <c r="A40" i="47"/>
  <c r="G40" i="47" s="1"/>
  <c r="B40" i="47" s="1"/>
  <c r="D40" i="47" s="1"/>
  <c r="B178" i="63"/>
  <c r="A96" i="47"/>
  <c r="G96" i="47" s="1"/>
  <c r="B96" i="47" s="1"/>
  <c r="C469" i="61"/>
  <c r="D230" i="63"/>
  <c r="E354" i="61"/>
  <c r="B59" i="63"/>
  <c r="C186" i="61"/>
  <c r="E393" i="61"/>
  <c r="D159" i="63"/>
  <c r="C150" i="61"/>
  <c r="B70" i="63"/>
  <c r="E246" i="61"/>
  <c r="D118" i="63"/>
  <c r="E211" i="61"/>
  <c r="D332" i="63"/>
  <c r="D197" i="63"/>
  <c r="C478" i="61"/>
  <c r="B261" i="63"/>
  <c r="C77" i="61"/>
  <c r="B61" i="63"/>
  <c r="A29" i="47"/>
  <c r="G29" i="47" s="1"/>
  <c r="B29" i="47" s="1"/>
  <c r="C123" i="61"/>
  <c r="B310" i="63"/>
  <c r="E483" i="61"/>
  <c r="D400" i="63"/>
  <c r="B365" i="63"/>
  <c r="C343" i="61"/>
  <c r="D293" i="63"/>
  <c r="E55" i="61"/>
  <c r="C19" i="61"/>
  <c r="B284" i="63"/>
  <c r="D92" i="63"/>
  <c r="E173" i="61"/>
  <c r="E169" i="61"/>
  <c r="D93" i="63"/>
  <c r="E227" i="61"/>
  <c r="D336" i="63"/>
  <c r="B278" i="63"/>
  <c r="D98" i="63"/>
  <c r="E198" i="61"/>
  <c r="C295" i="61"/>
  <c r="B353" i="63"/>
  <c r="B380" i="63"/>
  <c r="C403" i="61"/>
  <c r="E165" i="61"/>
  <c r="D73" i="63"/>
  <c r="C35" i="61"/>
  <c r="B288" i="63"/>
  <c r="B287" i="63"/>
  <c r="C31" i="61"/>
  <c r="E54" i="61"/>
  <c r="D18" i="63"/>
  <c r="B406" i="63"/>
  <c r="C507" i="61"/>
  <c r="C429" i="61"/>
  <c r="B168" i="63"/>
  <c r="A89" i="47"/>
  <c r="G89" i="47" s="1"/>
  <c r="B89" i="47" s="1"/>
  <c r="D89" i="47" s="1"/>
  <c r="D181" i="63"/>
  <c r="E481" i="61"/>
  <c r="E421" i="61"/>
  <c r="D166" i="63"/>
  <c r="D394" i="63"/>
  <c r="E459" i="61"/>
  <c r="C510" i="61"/>
  <c r="B269" i="63"/>
  <c r="E151" i="61"/>
  <c r="D317" i="63"/>
  <c r="E217" i="61"/>
  <c r="D83" i="63"/>
  <c r="E473" i="61"/>
  <c r="D179" i="63"/>
  <c r="A42" i="47"/>
  <c r="B20" i="63"/>
  <c r="C129" i="61"/>
  <c r="C259" i="61"/>
  <c r="B344" i="63"/>
  <c r="D200" i="63"/>
  <c r="E130" i="61"/>
  <c r="E9" i="61"/>
  <c r="D12" i="63"/>
  <c r="E161" i="61"/>
  <c r="D91" i="63"/>
  <c r="E62" i="61"/>
  <c r="D45" i="63"/>
  <c r="C205" i="61"/>
  <c r="B105" i="63"/>
  <c r="A61" i="47"/>
  <c r="G61" i="47" s="1"/>
  <c r="B61" i="47" s="1"/>
  <c r="D348" i="63"/>
  <c r="E275" i="61"/>
  <c r="E466" i="61"/>
  <c r="D258" i="63"/>
  <c r="C410" i="61"/>
  <c r="B244" i="63"/>
  <c r="B196" i="63"/>
  <c r="A145" i="47"/>
  <c r="D246" i="63"/>
  <c r="E418" i="61"/>
  <c r="A105" i="47"/>
  <c r="G105" i="47" s="1"/>
  <c r="B105" i="47" s="1"/>
  <c r="C105" i="47" s="1"/>
  <c r="AM105" i="47" s="1"/>
  <c r="C389" i="61"/>
  <c r="B158" i="63"/>
  <c r="B80" i="63"/>
  <c r="C154" i="61"/>
  <c r="D275" i="63"/>
  <c r="B9" i="63"/>
  <c r="C10" i="61"/>
  <c r="E158" i="61"/>
  <c r="D36" i="63"/>
  <c r="E390" i="61"/>
  <c r="D239" i="63"/>
  <c r="B404" i="63"/>
  <c r="C499" i="61"/>
  <c r="A65" i="47"/>
  <c r="G65" i="47" s="1"/>
  <c r="B65" i="47" s="1"/>
  <c r="C65" i="47" s="1"/>
  <c r="AM65" i="47" s="1"/>
  <c r="C221" i="61"/>
  <c r="B90" i="63"/>
  <c r="C67" i="61"/>
  <c r="B296" i="63"/>
  <c r="E297" i="61"/>
  <c r="D135" i="63"/>
  <c r="B373" i="63"/>
  <c r="C375" i="61"/>
  <c r="E75" i="61"/>
  <c r="D298" i="63"/>
  <c r="B46" i="63"/>
  <c r="C90" i="61"/>
  <c r="D124" i="63"/>
  <c r="E157" i="61"/>
  <c r="D271" i="63"/>
  <c r="D233" i="63"/>
  <c r="E366" i="61"/>
  <c r="A137" i="47"/>
  <c r="G137" i="47" s="1"/>
  <c r="B137" i="47" s="1"/>
  <c r="C477" i="61"/>
  <c r="B180" i="63"/>
  <c r="E278" i="61"/>
  <c r="D211" i="63"/>
  <c r="E185" i="61"/>
  <c r="D115" i="63"/>
  <c r="E71" i="61"/>
  <c r="D297" i="63"/>
  <c r="E317" i="61"/>
  <c r="D140" i="63"/>
  <c r="B146" i="63"/>
  <c r="C341" i="61"/>
  <c r="A116" i="47"/>
  <c r="E397" i="61"/>
  <c r="D160" i="63"/>
  <c r="E303" i="61"/>
  <c r="D355" i="63"/>
  <c r="D383" i="63"/>
  <c r="E415" i="61"/>
  <c r="D207" i="63"/>
  <c r="E262" i="61"/>
  <c r="C289" i="61"/>
  <c r="A97" i="47"/>
  <c r="G97" i="47" s="1"/>
  <c r="B97" i="47" s="1"/>
  <c r="D97" i="47" s="1"/>
  <c r="B133" i="63"/>
  <c r="B277" i="63"/>
  <c r="B343" i="63"/>
  <c r="C255" i="61"/>
  <c r="C502" i="61"/>
  <c r="B267" i="63"/>
  <c r="B104" i="63"/>
  <c r="C178" i="61"/>
  <c r="D56" i="63"/>
  <c r="E106" i="61"/>
  <c r="D26" i="63"/>
  <c r="E37" i="61"/>
  <c r="D81" i="63"/>
  <c r="E153" i="61"/>
  <c r="E15" i="61"/>
  <c r="D283" i="63"/>
  <c r="C210" i="61"/>
  <c r="B116" i="63"/>
  <c r="B82" i="63"/>
  <c r="C142" i="61"/>
  <c r="D320" i="63"/>
  <c r="E163" i="61"/>
  <c r="E191" i="61"/>
  <c r="D327" i="63"/>
  <c r="D280" i="63"/>
  <c r="A87" i="47"/>
  <c r="C345" i="61"/>
  <c r="B147" i="63"/>
  <c r="B330" i="63"/>
  <c r="C203" i="61"/>
  <c r="B245" i="63"/>
  <c r="C414" i="61"/>
  <c r="D149" i="63"/>
  <c r="E353" i="61"/>
  <c r="B362" i="63"/>
  <c r="C331" i="61"/>
  <c r="C6" i="61"/>
  <c r="B17" i="63"/>
  <c r="E209" i="61"/>
  <c r="D87" i="63"/>
  <c r="E179" i="61"/>
  <c r="D324" i="63"/>
  <c r="B305" i="63"/>
  <c r="C103" i="61"/>
  <c r="C294" i="61"/>
  <c r="B215" i="63"/>
  <c r="C22" i="61"/>
  <c r="B10" i="63"/>
  <c r="D131" i="63"/>
  <c r="E281" i="61"/>
  <c r="B409" i="63"/>
  <c r="E215" i="61"/>
  <c r="D333" i="63"/>
  <c r="D335" i="63"/>
  <c r="E223" i="61"/>
  <c r="C214" i="61"/>
  <c r="B100" i="63"/>
  <c r="D289" i="63"/>
  <c r="E39" i="61"/>
  <c r="E323" i="61"/>
  <c r="D360" i="63"/>
  <c r="D217" i="63"/>
  <c r="E302" i="61"/>
  <c r="D175" i="63"/>
  <c r="E457" i="61"/>
  <c r="B195" i="63"/>
  <c r="A144" i="47"/>
  <c r="G144" i="47" s="1"/>
  <c r="B144" i="47" s="1"/>
  <c r="C143" i="61"/>
  <c r="B315" i="63"/>
  <c r="D7" i="63"/>
  <c r="E17" i="61"/>
  <c r="B203" i="63"/>
  <c r="C238" i="61"/>
  <c r="B42" i="63"/>
  <c r="C102" i="61"/>
  <c r="A133" i="47"/>
  <c r="G133" i="47" s="1"/>
  <c r="B133" i="47" s="1"/>
  <c r="B188" i="63"/>
  <c r="C509" i="61"/>
  <c r="E409" i="61"/>
  <c r="D163" i="63"/>
  <c r="A41" i="47"/>
  <c r="B69" i="63"/>
  <c r="C125" i="61"/>
  <c r="B313" i="63"/>
  <c r="C135" i="61"/>
  <c r="A39" i="47"/>
  <c r="B66" i="63"/>
  <c r="C117" i="61"/>
  <c r="C47" i="61"/>
  <c r="B291" i="63"/>
  <c r="B328" i="63"/>
  <c r="C195" i="61"/>
  <c r="E43" i="61"/>
  <c r="D290" i="63"/>
  <c r="B29" i="63"/>
  <c r="C41" i="61"/>
  <c r="A20" i="47"/>
  <c r="C170" i="61"/>
  <c r="B85" i="63"/>
  <c r="E374" i="61"/>
  <c r="D235" i="63"/>
  <c r="B79" i="63"/>
  <c r="A55" i="47"/>
  <c r="C177" i="61"/>
  <c r="E417" i="61"/>
  <c r="D165" i="63"/>
  <c r="B110" i="63"/>
  <c r="C230" i="61"/>
  <c r="B393" i="63"/>
  <c r="C455" i="61"/>
  <c r="D11" i="63"/>
  <c r="E65" i="61"/>
  <c r="E267" i="61"/>
  <c r="D346" i="63"/>
  <c r="D414" i="63"/>
  <c r="E346" i="61"/>
  <c r="D228" i="63"/>
  <c r="B187" i="63"/>
  <c r="C505" i="61"/>
  <c r="A92" i="47"/>
  <c r="C250" i="61"/>
  <c r="B204" i="63"/>
  <c r="A114" i="47"/>
  <c r="G114" i="47" s="1"/>
  <c r="B114" i="47" s="1"/>
  <c r="B151" i="63"/>
  <c r="C361" i="61"/>
  <c r="C349" i="61"/>
  <c r="A76" i="47"/>
  <c r="G76" i="47" s="1"/>
  <c r="B76" i="47" s="1"/>
  <c r="B148" i="63"/>
  <c r="D292" i="63"/>
  <c r="E51" i="61"/>
  <c r="D250" i="63"/>
  <c r="E434" i="61"/>
  <c r="B55" i="63"/>
  <c r="C69" i="61"/>
  <c r="A27" i="47"/>
  <c r="D356" i="63"/>
  <c r="E307" i="61"/>
  <c r="D388" i="63"/>
  <c r="E435" i="61"/>
  <c r="E226" i="61"/>
  <c r="D114" i="63"/>
  <c r="B94" i="63"/>
  <c r="C197" i="61"/>
  <c r="A60" i="47"/>
  <c r="D326" i="63"/>
  <c r="E187" i="61"/>
  <c r="E515" i="61"/>
  <c r="D408" i="63"/>
  <c r="E231" i="61"/>
  <c r="D337" i="63"/>
  <c r="E277" i="61"/>
  <c r="D130" i="63"/>
  <c r="B273" i="63"/>
  <c r="C427" i="61"/>
  <c r="B386" i="63"/>
  <c r="E201" i="61"/>
  <c r="D97" i="63"/>
  <c r="D35" i="63"/>
  <c r="E45" i="61"/>
  <c r="D123" i="63"/>
  <c r="E253" i="61"/>
  <c r="B372" i="63"/>
  <c r="C371" i="61"/>
  <c r="D374" i="63"/>
  <c r="E379" i="61"/>
  <c r="D412" i="63"/>
  <c r="E78" i="61"/>
  <c r="D21" i="63"/>
  <c r="E46" i="61"/>
  <c r="D25" i="63"/>
  <c r="B191" i="63"/>
  <c r="A140" i="47"/>
  <c r="G140" i="47" s="1"/>
  <c r="B140" i="47" s="1"/>
  <c r="C140" i="47" s="1"/>
  <c r="AM140" i="47" s="1"/>
  <c r="B150" i="63"/>
  <c r="C357" i="61"/>
  <c r="A123" i="47"/>
  <c r="B411" i="63"/>
  <c r="C487" i="61"/>
  <c r="B401" i="63"/>
  <c r="D43" i="63"/>
  <c r="E98" i="61"/>
  <c r="E462" i="61"/>
  <c r="D257" i="63"/>
  <c r="B190" i="63"/>
  <c r="A139" i="47"/>
  <c r="E174" i="61"/>
  <c r="D86" i="63"/>
  <c r="B24" i="63"/>
  <c r="C70" i="61"/>
  <c r="C167" i="61"/>
  <c r="B321" i="63"/>
  <c r="E279" i="61"/>
  <c r="D349" i="63"/>
  <c r="E318" i="61"/>
  <c r="D221" i="63"/>
  <c r="E133" i="61"/>
  <c r="D89" i="63"/>
  <c r="D248" i="63"/>
  <c r="E426" i="61"/>
  <c r="C450" i="61"/>
  <c r="B254" i="63"/>
  <c r="E298" i="61"/>
  <c r="D216" i="63"/>
  <c r="C222" i="61"/>
  <c r="B202" i="63"/>
  <c r="C115" i="61"/>
  <c r="B308" i="63"/>
  <c r="E265" i="61"/>
  <c r="D127" i="63"/>
  <c r="C306" i="61"/>
  <c r="B218" i="63"/>
  <c r="C391" i="61"/>
  <c r="B377" i="63"/>
  <c r="E155" i="61"/>
  <c r="D318" i="63"/>
  <c r="E445" i="61"/>
  <c r="D172" i="63"/>
  <c r="E141" i="61"/>
  <c r="D68" i="63"/>
  <c r="C86" i="61"/>
  <c r="B23" i="63"/>
  <c r="B350" i="63"/>
  <c r="C283" i="61"/>
  <c r="B309" i="63"/>
  <c r="C119" i="61"/>
  <c r="C498" i="61"/>
  <c r="B266" i="63"/>
  <c r="C378" i="61"/>
  <c r="B236" i="63"/>
  <c r="B44" i="63"/>
  <c r="A32" i="47"/>
  <c r="C89" i="61"/>
  <c r="E430" i="61"/>
  <c r="D249" i="63"/>
  <c r="C465" i="61"/>
  <c r="A113" i="47"/>
  <c r="B177" i="63"/>
  <c r="B210" i="63"/>
  <c r="C274" i="61"/>
  <c r="D382" i="63"/>
  <c r="E411" i="61"/>
  <c r="E299" i="61"/>
  <c r="D354" i="63"/>
  <c r="C206" i="61"/>
  <c r="B99" i="63"/>
  <c r="B102" i="63"/>
  <c r="C202" i="61"/>
  <c r="B396" i="63"/>
  <c r="C467" i="61"/>
  <c r="D369" i="63"/>
  <c r="E359" i="61"/>
  <c r="B232" i="63"/>
  <c r="C362" i="61"/>
  <c r="E199" i="61"/>
  <c r="D329" i="63"/>
  <c r="D193" i="63"/>
  <c r="A66" i="47"/>
  <c r="G66" i="47" s="1"/>
  <c r="B66" i="47" s="1"/>
  <c r="C225" i="61"/>
  <c r="B107" i="63"/>
  <c r="C305" i="61"/>
  <c r="B137" i="63"/>
  <c r="A135" i="47"/>
  <c r="C437" i="61"/>
  <c r="B170" i="63"/>
  <c r="A78" i="47"/>
  <c r="G78" i="47" s="1"/>
  <c r="B78" i="47" s="1"/>
  <c r="C78" i="47" s="1"/>
  <c r="AM78" i="47" s="1"/>
  <c r="E207" i="61"/>
  <c r="D331" i="63"/>
  <c r="B214" i="63"/>
  <c r="C290" i="61"/>
  <c r="D359" i="63"/>
  <c r="E319" i="61"/>
  <c r="E59" i="61"/>
  <c r="D294" i="63"/>
  <c r="B415" i="63"/>
  <c r="C482" i="61"/>
  <c r="B262" i="63"/>
  <c r="E146" i="61"/>
  <c r="D103" i="63"/>
  <c r="D301" i="63"/>
  <c r="E87" i="61"/>
  <c r="C113" i="61"/>
  <c r="B51" i="63"/>
  <c r="A38" i="47"/>
  <c r="C239" i="61"/>
  <c r="B339" i="63"/>
  <c r="B307" i="63"/>
  <c r="C111" i="61"/>
  <c r="B72" i="63"/>
  <c r="C114" i="61"/>
  <c r="D384" i="63"/>
  <c r="E419" i="61"/>
  <c r="C27" i="61"/>
  <c r="B286" i="63"/>
  <c r="D14" i="63"/>
  <c r="E57" i="61"/>
  <c r="C423" i="61"/>
  <c r="B385" i="63"/>
  <c r="C486" i="61"/>
  <c r="B263" i="63"/>
  <c r="E266" i="61"/>
  <c r="D208" i="63"/>
  <c r="E107" i="61"/>
  <c r="D306" i="63"/>
  <c r="C122" i="61"/>
  <c r="B71" i="63"/>
  <c r="E21" i="61"/>
  <c r="D16" i="63"/>
  <c r="E422" i="61"/>
  <c r="D247" i="63"/>
  <c r="C285" i="61"/>
  <c r="B132" i="63"/>
  <c r="A83" i="47"/>
  <c r="C237" i="61"/>
  <c r="A69" i="47"/>
  <c r="G69" i="47" s="1"/>
  <c r="B69" i="47" s="1"/>
  <c r="B113" i="63"/>
  <c r="B222" i="63"/>
  <c r="C322" i="61"/>
  <c r="C95" i="61"/>
  <c r="B303" i="63"/>
  <c r="E497" i="61"/>
  <c r="D185" i="63"/>
  <c r="B126" i="63"/>
  <c r="C261" i="61"/>
  <c r="A100" i="47"/>
  <c r="C490" i="61"/>
  <c r="B264" i="63"/>
  <c r="D325" i="63"/>
  <c r="E183" i="61"/>
  <c r="D316" i="63"/>
  <c r="E147" i="61"/>
  <c r="E245" i="61"/>
  <c r="D122" i="63"/>
  <c r="B276" i="63"/>
  <c r="B253" i="63"/>
  <c r="C446" i="61"/>
  <c r="C387" i="61"/>
  <c r="B376" i="63"/>
  <c r="B322" i="63"/>
  <c r="C171" i="61"/>
  <c r="D75" i="63"/>
  <c r="E162" i="61"/>
  <c r="B183" i="63"/>
  <c r="C489" i="61"/>
  <c r="A132" i="47"/>
  <c r="E334" i="61"/>
  <c r="D225" i="63"/>
  <c r="E330" i="61"/>
  <c r="D224" i="63"/>
  <c r="B417" i="63"/>
  <c r="C325" i="61"/>
  <c r="A129" i="47"/>
  <c r="G129" i="47" s="1"/>
  <c r="B129" i="47" s="1"/>
  <c r="B142" i="63"/>
  <c r="B398" i="63"/>
  <c r="C475" i="61"/>
  <c r="D40" i="63"/>
  <c r="E81" i="61"/>
  <c r="C33" i="61"/>
  <c r="B19" i="63"/>
  <c r="A18" i="47"/>
  <c r="G18" i="47" s="1"/>
  <c r="B18" i="47" s="1"/>
  <c r="C11" i="61"/>
  <c r="B282" i="63"/>
  <c r="D347" i="63"/>
  <c r="E271" i="61"/>
  <c r="D389" i="63"/>
  <c r="E439" i="61"/>
  <c r="D22" i="63"/>
  <c r="E38" i="61"/>
  <c r="E159" i="61"/>
  <c r="D319" i="63"/>
  <c r="C58" i="61"/>
  <c r="B58" i="63"/>
  <c r="D323" i="63"/>
  <c r="E175" i="61"/>
  <c r="E458" i="61"/>
  <c r="D256" i="63"/>
  <c r="C18" i="61"/>
  <c r="B31" i="63"/>
  <c r="D361" i="63"/>
  <c r="E327" i="61"/>
  <c r="D226" i="63"/>
  <c r="E338" i="61"/>
  <c r="D314" i="63"/>
  <c r="E139" i="61"/>
  <c r="C383" i="61"/>
  <c r="B375" i="63"/>
  <c r="C166" i="61"/>
  <c r="B95" i="63"/>
  <c r="C7" i="61"/>
  <c r="B281" i="63"/>
  <c r="D403" i="63"/>
  <c r="E495" i="61"/>
  <c r="D238" i="63"/>
  <c r="E386" i="61"/>
  <c r="E493" i="61"/>
  <c r="D184" i="63"/>
  <c r="C395" i="61"/>
  <c r="B378" i="63"/>
  <c r="B39" i="63"/>
  <c r="C94" i="61"/>
  <c r="E511" i="61"/>
  <c r="D407" i="63"/>
  <c r="C287" i="61"/>
  <c r="B351" i="63"/>
  <c r="C251" i="61"/>
  <c r="B342" i="63"/>
  <c r="C63" i="61"/>
  <c r="B295" i="63"/>
  <c r="D128" i="63"/>
  <c r="E269" i="61"/>
  <c r="C249" i="61"/>
  <c r="A72" i="47"/>
  <c r="G72" i="47" s="1"/>
  <c r="B72" i="47" s="1"/>
  <c r="B121" i="63"/>
  <c r="D259" i="63"/>
  <c r="E470" i="61"/>
  <c r="B49" i="63"/>
  <c r="C74" i="61"/>
  <c r="A70" i="47"/>
  <c r="B117" i="63"/>
  <c r="C241" i="61"/>
  <c r="C50" i="61"/>
  <c r="B38" i="63"/>
  <c r="E218" i="61"/>
  <c r="D201" i="63"/>
  <c r="C267" i="61"/>
  <c r="B346" i="63"/>
  <c r="B414" i="63"/>
  <c r="B228" i="63"/>
  <c r="C346" i="61"/>
  <c r="E505" i="61"/>
  <c r="D187" i="63"/>
  <c r="D204" i="63"/>
  <c r="E250" i="61"/>
  <c r="E361" i="61"/>
  <c r="D151" i="63"/>
  <c r="E349" i="61"/>
  <c r="D148" i="63"/>
  <c r="B292" i="63"/>
  <c r="C51" i="61"/>
  <c r="B250" i="63"/>
  <c r="C434" i="61"/>
  <c r="D55" i="63"/>
  <c r="E69" i="61"/>
  <c r="C307" i="61"/>
  <c r="B356" i="63"/>
  <c r="B388" i="63"/>
  <c r="C435" i="61"/>
  <c r="B114" i="63"/>
  <c r="C226" i="61"/>
  <c r="D94" i="63"/>
  <c r="E197" i="61"/>
  <c r="B326" i="63"/>
  <c r="C187" i="61"/>
  <c r="B408" i="63"/>
  <c r="C515" i="61"/>
  <c r="B337" i="63"/>
  <c r="C231" i="61"/>
  <c r="A122" i="47"/>
  <c r="C277" i="61"/>
  <c r="B130" i="63"/>
  <c r="D273" i="63"/>
  <c r="E427" i="61"/>
  <c r="D386" i="63"/>
  <c r="A51" i="47"/>
  <c r="C201" i="61"/>
  <c r="B97" i="63"/>
  <c r="B35" i="63"/>
  <c r="A21" i="47"/>
  <c r="C45" i="61"/>
  <c r="C253" i="61"/>
  <c r="A73" i="47"/>
  <c r="B123" i="63"/>
  <c r="E371" i="61"/>
  <c r="D372" i="63"/>
  <c r="C379" i="61"/>
  <c r="B374" i="63"/>
  <c r="B412" i="63"/>
  <c r="C78" i="61"/>
  <c r="B21" i="63"/>
  <c r="B25" i="63"/>
  <c r="C46" i="61"/>
  <c r="D191" i="63"/>
  <c r="D150" i="63"/>
  <c r="E357" i="61"/>
  <c r="D411" i="63"/>
  <c r="E487" i="61"/>
  <c r="D401" i="63"/>
  <c r="C98" i="61"/>
  <c r="B43" i="63"/>
  <c r="B257" i="63"/>
  <c r="C462" i="61"/>
  <c r="D190" i="63"/>
  <c r="C174" i="61"/>
  <c r="B86" i="63"/>
  <c r="D24" i="63"/>
  <c r="E70" i="61"/>
  <c r="E167" i="61"/>
  <c r="D321" i="63"/>
  <c r="C279" i="61"/>
  <c r="B349" i="63"/>
  <c r="C318" i="61"/>
  <c r="B221" i="63"/>
  <c r="B89" i="63"/>
  <c r="C133" i="61"/>
  <c r="A43" i="47"/>
  <c r="C426" i="61"/>
  <c r="B248" i="63"/>
  <c r="D254" i="63"/>
  <c r="E450" i="61"/>
  <c r="B216" i="63"/>
  <c r="C298" i="61"/>
  <c r="D202" i="63"/>
  <c r="E222" i="61"/>
  <c r="E115" i="61"/>
  <c r="D308" i="63"/>
  <c r="C265" i="61"/>
  <c r="B127" i="63"/>
  <c r="A88" i="47"/>
  <c r="G88" i="47" s="1"/>
  <c r="B88" i="47" s="1"/>
  <c r="E306" i="61"/>
  <c r="D218" i="63"/>
  <c r="D377" i="63"/>
  <c r="E391" i="61"/>
  <c r="B318" i="63"/>
  <c r="C155" i="61"/>
  <c r="C445" i="61"/>
  <c r="B172" i="63"/>
  <c r="A80" i="47"/>
  <c r="G80" i="47" s="1"/>
  <c r="B80" i="47" s="1"/>
  <c r="C141" i="61"/>
  <c r="B68" i="63"/>
  <c r="A45" i="47"/>
  <c r="D23" i="63"/>
  <c r="E86" i="61"/>
  <c r="E283" i="61"/>
  <c r="D350" i="63"/>
  <c r="E119" i="61"/>
  <c r="D309" i="63"/>
  <c r="E498" i="61"/>
  <c r="D266" i="63"/>
  <c r="D236" i="63"/>
  <c r="E378" i="61"/>
  <c r="D44" i="63"/>
  <c r="E89" i="61"/>
  <c r="C430" i="61"/>
  <c r="B249" i="63"/>
  <c r="D177" i="63"/>
  <c r="E465" i="61"/>
  <c r="D210" i="63"/>
  <c r="E274" i="61"/>
  <c r="C411" i="61"/>
  <c r="B382" i="63"/>
  <c r="C299" i="61"/>
  <c r="B354" i="63"/>
  <c r="E206" i="61"/>
  <c r="D99" i="63"/>
  <c r="D102" i="63"/>
  <c r="E202" i="61"/>
  <c r="E467" i="61"/>
  <c r="D396" i="63"/>
  <c r="B369" i="63"/>
  <c r="C359" i="61"/>
  <c r="E362" i="61"/>
  <c r="D232" i="63"/>
  <c r="B329" i="63"/>
  <c r="C199" i="61"/>
  <c r="B193" i="63"/>
  <c r="A142" i="47"/>
  <c r="G142" i="47" s="1"/>
  <c r="B142" i="47" s="1"/>
  <c r="D107" i="63"/>
  <c r="E225" i="61"/>
  <c r="E305" i="61"/>
  <c r="D137" i="63"/>
  <c r="D170" i="63"/>
  <c r="E437" i="61"/>
  <c r="C207" i="61"/>
  <c r="B331" i="63"/>
  <c r="D214" i="63"/>
  <c r="E290" i="61"/>
  <c r="B359" i="63"/>
  <c r="C319" i="61"/>
  <c r="B294" i="63"/>
  <c r="C59" i="61"/>
  <c r="D415" i="63"/>
  <c r="E482" i="61"/>
  <c r="D262" i="63"/>
  <c r="B103" i="63"/>
  <c r="C146" i="61"/>
  <c r="B301" i="63"/>
  <c r="C87" i="61"/>
  <c r="E113" i="61"/>
  <c r="D51" i="63"/>
  <c r="E239" i="61"/>
  <c r="D339" i="63"/>
  <c r="D307" i="63"/>
  <c r="E111" i="61"/>
  <c r="E114" i="61"/>
  <c r="D72" i="63"/>
  <c r="B384" i="63"/>
  <c r="C419" i="61"/>
  <c r="D286" i="63"/>
  <c r="E27" i="61"/>
  <c r="B14" i="63"/>
  <c r="A24" i="47"/>
  <c r="C57" i="61"/>
  <c r="E423" i="61"/>
  <c r="D385" i="63"/>
  <c r="D263" i="63"/>
  <c r="E486" i="61"/>
  <c r="C266" i="61"/>
  <c r="B208" i="63"/>
  <c r="B306" i="63"/>
  <c r="C107" i="61"/>
  <c r="E122" i="61"/>
  <c r="D71" i="63"/>
  <c r="C21" i="61"/>
  <c r="B16" i="63"/>
  <c r="A15" i="47"/>
  <c r="C422" i="61"/>
  <c r="B247" i="63"/>
  <c r="E285" i="61"/>
  <c r="D132" i="63"/>
  <c r="E237" i="61"/>
  <c r="D113" i="63"/>
  <c r="D222" i="63"/>
  <c r="E322" i="61"/>
  <c r="D303" i="63"/>
  <c r="E95" i="61"/>
  <c r="C497" i="61"/>
  <c r="B185" i="63"/>
  <c r="A102" i="47"/>
  <c r="G102" i="47" s="1"/>
  <c r="B102" i="47" s="1"/>
  <c r="D126" i="63"/>
  <c r="E261" i="61"/>
  <c r="D264" i="63"/>
  <c r="E490" i="61"/>
  <c r="B325" i="63"/>
  <c r="C183" i="61"/>
  <c r="B274" i="63"/>
  <c r="E454" i="61"/>
  <c r="D255" i="63"/>
  <c r="D48" i="63"/>
  <c r="E53" i="61"/>
  <c r="E247" i="61"/>
  <c r="D341" i="63"/>
  <c r="D174" i="63"/>
  <c r="E453" i="61"/>
  <c r="E313" i="61"/>
  <c r="D139" i="63"/>
  <c r="D285" i="63"/>
  <c r="E23" i="61"/>
  <c r="A74" i="47"/>
  <c r="G74" i="47" s="1"/>
  <c r="B74" i="47" s="1"/>
  <c r="D74" i="47" s="1"/>
  <c r="B171" i="63"/>
  <c r="C441" i="61"/>
  <c r="C474" i="61"/>
  <c r="B260" i="63"/>
  <c r="B413" i="63"/>
  <c r="B240" i="63"/>
  <c r="C394" i="61"/>
  <c r="E494" i="61"/>
  <c r="D265" i="63"/>
  <c r="E405" i="61"/>
  <c r="D162" i="63"/>
  <c r="B213" i="63"/>
  <c r="C286" i="61"/>
  <c r="D129" i="63"/>
  <c r="E273" i="61"/>
  <c r="B182" i="63"/>
  <c r="A130" i="47"/>
  <c r="G130" i="47" s="1"/>
  <c r="B130" i="47" s="1"/>
  <c r="C130" i="47" s="1"/>
  <c r="AM130" i="47" s="1"/>
  <c r="C485" i="61"/>
  <c r="D63" i="63"/>
  <c r="E110" i="61"/>
  <c r="D205" i="63"/>
  <c r="E254" i="61"/>
  <c r="E407" i="61"/>
  <c r="D381" i="63"/>
  <c r="B84" i="63"/>
  <c r="C149" i="61"/>
  <c r="A47" i="47"/>
  <c r="C5" i="61"/>
  <c r="B5" i="63"/>
  <c r="A11" i="47"/>
  <c r="D416" i="63"/>
  <c r="D192" i="63"/>
  <c r="C367" i="61"/>
  <c r="B371" i="63"/>
  <c r="D153" i="63"/>
  <c r="E369" i="61"/>
  <c r="B125" i="63"/>
  <c r="A125" i="47"/>
  <c r="C257" i="61"/>
  <c r="C147" i="61"/>
  <c r="B316" i="63"/>
  <c r="D111" i="63"/>
  <c r="E194" i="61"/>
  <c r="C82" i="61"/>
  <c r="B41" i="63"/>
  <c r="A71" i="47"/>
  <c r="G71" i="47" s="1"/>
  <c r="B71" i="47" s="1"/>
  <c r="C245" i="61"/>
  <c r="B122" i="63"/>
  <c r="D418" i="63"/>
  <c r="B220" i="63"/>
  <c r="C314" i="61"/>
  <c r="D276" i="63"/>
  <c r="A98" i="47"/>
  <c r="C501" i="61"/>
  <c r="B186" i="63"/>
  <c r="E402" i="61"/>
  <c r="D242" i="63"/>
  <c r="D50" i="63"/>
  <c r="E105" i="61"/>
  <c r="D253" i="63"/>
  <c r="E446" i="61"/>
  <c r="E363" i="61"/>
  <c r="D370" i="63"/>
  <c r="C97" i="61"/>
  <c r="B53" i="63"/>
  <c r="A34" i="47"/>
  <c r="G34" i="47" s="1"/>
  <c r="B34" i="47" s="1"/>
  <c r="D65" i="63"/>
  <c r="E126" i="61"/>
  <c r="D376" i="63"/>
  <c r="E387" i="61"/>
  <c r="B299" i="63"/>
  <c r="C79" i="61"/>
  <c r="A119" i="47"/>
  <c r="G119" i="47" s="1"/>
  <c r="B119" i="47" s="1"/>
  <c r="B157" i="63"/>
  <c r="C385" i="61"/>
  <c r="E85" i="61"/>
  <c r="D76" i="63"/>
  <c r="D322" i="63"/>
  <c r="E171" i="61"/>
  <c r="E83" i="61"/>
  <c r="D300" i="63"/>
  <c r="E14" i="61"/>
  <c r="D15" i="63"/>
  <c r="B62" i="63"/>
  <c r="A35" i="47"/>
  <c r="G35" i="47" s="1"/>
  <c r="B35" i="47" s="1"/>
  <c r="C35" i="47" s="1"/>
  <c r="AM35" i="47" s="1"/>
  <c r="C101" i="61"/>
  <c r="B75" i="63"/>
  <c r="C162" i="61"/>
  <c r="D156" i="63"/>
  <c r="E381" i="61"/>
  <c r="D183" i="63"/>
  <c r="E489" i="61"/>
  <c r="C235" i="61"/>
  <c r="B338" i="63"/>
  <c r="B209" i="63"/>
  <c r="C270" i="61"/>
  <c r="E293" i="61"/>
  <c r="D134" i="63"/>
  <c r="C334" i="61"/>
  <c r="B225" i="63"/>
  <c r="B155" i="63"/>
  <c r="A106" i="47"/>
  <c r="G106" i="47" s="1"/>
  <c r="B106" i="47" s="1"/>
  <c r="C377" i="61"/>
  <c r="C91" i="61"/>
  <c r="B302" i="63"/>
  <c r="C93" i="61"/>
  <c r="B57" i="63"/>
  <c r="A33" i="47"/>
  <c r="G33" i="47" s="1"/>
  <c r="B33" i="47" s="1"/>
  <c r="B224" i="63"/>
  <c r="C330" i="61"/>
  <c r="C234" i="61"/>
  <c r="B119" i="63"/>
  <c r="C365" i="61"/>
  <c r="A99" i="47"/>
  <c r="G99" i="47" s="1"/>
  <c r="B99" i="47" s="1"/>
  <c r="B152" i="63"/>
  <c r="C443" i="61"/>
  <c r="B390" i="63"/>
  <c r="D417" i="63"/>
  <c r="C258" i="61"/>
  <c r="B206" i="63"/>
  <c r="A134" i="47"/>
  <c r="G134" i="47" s="1"/>
  <c r="B134" i="47" s="1"/>
  <c r="C333" i="61"/>
  <c r="B144" i="63"/>
  <c r="A25" i="47"/>
  <c r="G25" i="47" s="1"/>
  <c r="B25" i="47" s="1"/>
  <c r="C61" i="61"/>
  <c r="B28" i="63"/>
  <c r="D142" i="63"/>
  <c r="E325" i="61"/>
  <c r="B27" i="63"/>
  <c r="C34" i="61"/>
  <c r="C350" i="61"/>
  <c r="B229" i="63"/>
  <c r="B272" i="63"/>
  <c r="D398" i="63"/>
  <c r="E475" i="61"/>
  <c r="E431" i="61"/>
  <c r="D387" i="63"/>
  <c r="A30" i="47"/>
  <c r="G30" i="47" s="1"/>
  <c r="B30" i="47" s="1"/>
  <c r="C81" i="61"/>
  <c r="B40" i="63"/>
  <c r="B345" i="63"/>
  <c r="C263" i="61"/>
  <c r="D251" i="63"/>
  <c r="E438" i="61"/>
  <c r="E315" i="61"/>
  <c r="D358" i="63"/>
  <c r="E33" i="61"/>
  <c r="D19" i="63"/>
  <c r="D8" i="63"/>
  <c r="E26" i="61"/>
  <c r="D391" i="63"/>
  <c r="E447" i="61"/>
  <c r="C190" i="61"/>
  <c r="B101" i="63"/>
  <c r="D282" i="63"/>
  <c r="E11" i="61"/>
  <c r="E13" i="61"/>
  <c r="D6" i="63"/>
  <c r="B108" i="63"/>
  <c r="C213" i="61"/>
  <c r="A63" i="47"/>
  <c r="G63" i="47" s="1"/>
  <c r="B63" i="47" s="1"/>
  <c r="B34" i="63"/>
  <c r="A17" i="47"/>
  <c r="G17" i="47" s="1"/>
  <c r="B17" i="47" s="1"/>
  <c r="C29" i="61"/>
  <c r="C271" i="61"/>
  <c r="B347" i="63"/>
  <c r="E449" i="61"/>
  <c r="D173" i="63"/>
  <c r="B164" i="63"/>
  <c r="C413" i="61"/>
  <c r="A84" i="47"/>
  <c r="G84" i="47" s="1"/>
  <c r="B84" i="47" s="1"/>
  <c r="A101" i="47"/>
  <c r="G101" i="47" s="1"/>
  <c r="B101" i="47" s="1"/>
  <c r="B141" i="63"/>
  <c r="C321" i="61"/>
  <c r="C439" i="61"/>
  <c r="B389" i="63"/>
  <c r="C131" i="61"/>
  <c r="B312" i="63"/>
  <c r="C38" i="61"/>
  <c r="B22" i="63"/>
  <c r="E138" i="61"/>
  <c r="D78" i="63"/>
  <c r="E401" i="61"/>
  <c r="D161" i="63"/>
  <c r="C242" i="61"/>
  <c r="B120" i="63"/>
  <c r="B319" i="63"/>
  <c r="C159" i="61"/>
  <c r="A67" i="47"/>
  <c r="G67" i="47" s="1"/>
  <c r="B67" i="47" s="1"/>
  <c r="C229" i="61"/>
  <c r="B112" i="63"/>
  <c r="C373" i="61"/>
  <c r="B154" i="63"/>
  <c r="A81" i="47"/>
  <c r="G81" i="47" s="1"/>
  <c r="B81" i="47" s="1"/>
  <c r="C99" i="61"/>
  <c r="B304" i="63"/>
  <c r="E58" i="61"/>
  <c r="D58" i="63"/>
  <c r="E461" i="61"/>
  <c r="D176" i="63"/>
  <c r="D219" i="63"/>
  <c r="E310" i="61"/>
  <c r="C219" i="61"/>
  <c r="B334" i="63"/>
  <c r="C175" i="61"/>
  <c r="B323" i="63"/>
  <c r="B111" i="63"/>
  <c r="C194" i="61"/>
  <c r="E314" i="61"/>
  <c r="D220" i="63"/>
  <c r="A36" i="47"/>
  <c r="G36" i="47" s="1"/>
  <c r="B36" i="47" s="1"/>
  <c r="C105" i="61"/>
  <c r="B50" i="63"/>
  <c r="C126" i="61"/>
  <c r="B65" i="63"/>
  <c r="E79" i="61"/>
  <c r="D299" i="63"/>
  <c r="C83" i="61"/>
  <c r="B300" i="63"/>
  <c r="B156" i="63"/>
  <c r="A117" i="47"/>
  <c r="G117" i="47" s="1"/>
  <c r="B117" i="47" s="1"/>
  <c r="C381" i="61"/>
  <c r="C293" i="61"/>
  <c r="B134" i="63"/>
  <c r="A107" i="47"/>
  <c r="G107" i="47" s="1"/>
  <c r="B107" i="47" s="1"/>
  <c r="D155" i="63"/>
  <c r="E377" i="61"/>
  <c r="D119" i="63"/>
  <c r="E234" i="61"/>
  <c r="E258" i="61"/>
  <c r="D206" i="63"/>
  <c r="D27" i="63"/>
  <c r="E34" i="61"/>
  <c r="B387" i="63"/>
  <c r="C431" i="61"/>
  <c r="C438" i="61"/>
  <c r="B251" i="63"/>
  <c r="B8" i="63"/>
  <c r="C26" i="61"/>
  <c r="C13" i="61"/>
  <c r="A13" i="47"/>
  <c r="G13" i="47" s="1"/>
  <c r="B13" i="47" s="1"/>
  <c r="B6" i="63"/>
  <c r="B173" i="63"/>
  <c r="C449" i="61"/>
  <c r="A82" i="47"/>
  <c r="G82" i="47" s="1"/>
  <c r="B82" i="47" s="1"/>
  <c r="E131" i="61"/>
  <c r="D312" i="63"/>
  <c r="E242" i="61"/>
  <c r="D120" i="63"/>
  <c r="D112" i="63"/>
  <c r="E229" i="61"/>
  <c r="B176" i="63"/>
  <c r="A108" i="47"/>
  <c r="G108" i="47" s="1"/>
  <c r="B108" i="47" s="1"/>
  <c r="C461" i="61"/>
  <c r="E31" i="61"/>
  <c r="D287" i="63"/>
  <c r="A52" i="47"/>
  <c r="C165" i="61"/>
  <c r="B73" i="63"/>
  <c r="E282" i="61"/>
  <c r="D212" i="63"/>
  <c r="B364" i="63"/>
  <c r="C339" i="61"/>
  <c r="A28" i="47"/>
  <c r="B32" i="63"/>
  <c r="C73" i="61"/>
  <c r="B405" i="63"/>
  <c r="C503" i="61"/>
  <c r="D270" i="63"/>
  <c r="E514" i="61"/>
  <c r="B106" i="63"/>
  <c r="C233" i="61"/>
  <c r="A68" i="47"/>
  <c r="G68" i="47" s="1"/>
  <c r="B68" i="47" s="1"/>
  <c r="C68" i="47" s="1"/>
  <c r="AM68" i="47" s="1"/>
  <c r="C506" i="61"/>
  <c r="B268" i="63"/>
  <c r="B243" i="63"/>
  <c r="C406" i="61"/>
  <c r="D366" i="63"/>
  <c r="E347" i="61"/>
  <c r="E109" i="61"/>
  <c r="D54" i="63"/>
  <c r="C134" i="61"/>
  <c r="B52" i="63"/>
  <c r="D410" i="63"/>
  <c r="D352" i="63"/>
  <c r="E291" i="61"/>
  <c r="B395" i="63"/>
  <c r="C463" i="61"/>
  <c r="D96" i="63"/>
  <c r="E66" i="61"/>
  <c r="D60" i="63"/>
  <c r="E118" i="61"/>
  <c r="E30" i="61"/>
  <c r="D13" i="63"/>
  <c r="D33" i="63"/>
  <c r="E49" i="61"/>
  <c r="E513" i="61"/>
  <c r="D189" i="63"/>
  <c r="D397" i="63"/>
  <c r="E471" i="61"/>
  <c r="E182" i="61"/>
  <c r="D109" i="63"/>
  <c r="B367" i="63"/>
  <c r="C351" i="61"/>
  <c r="C309" i="61"/>
  <c r="A90" i="47"/>
  <c r="G90" i="47" s="1"/>
  <c r="B90" i="47" s="1"/>
  <c r="B138" i="63"/>
  <c r="AR60" i="47"/>
  <c r="AR28" i="47"/>
  <c r="AR11" i="47"/>
  <c r="AR21" i="47"/>
  <c r="AR122" i="47"/>
  <c r="AR112" i="47"/>
  <c r="AR139" i="47"/>
  <c r="AR52" i="47"/>
  <c r="AR27" i="47"/>
  <c r="AR42" i="47"/>
  <c r="AR77" i="47"/>
  <c r="AR51" i="47"/>
  <c r="AR145" i="47"/>
  <c r="G26" i="47"/>
  <c r="B26" i="47" s="1"/>
  <c r="G44" i="47"/>
  <c r="B44" i="47" s="1"/>
  <c r="G70" i="47"/>
  <c r="B70" i="47" s="1"/>
  <c r="G14" i="47"/>
  <c r="B14" i="47" s="1"/>
  <c r="D78" i="47"/>
  <c r="G118" i="47"/>
  <c r="B118" i="47" s="1"/>
  <c r="G79" i="47"/>
  <c r="B79" i="47" s="1"/>
  <c r="G113" i="47"/>
  <c r="B113" i="47" s="1"/>
  <c r="G48" i="47"/>
  <c r="B48" i="47" s="1"/>
  <c r="G148" i="47"/>
  <c r="B148" i="47" s="1"/>
  <c r="G57" i="47"/>
  <c r="B57" i="47" s="1"/>
  <c r="G98" i="47"/>
  <c r="B98" i="47" s="1"/>
  <c r="C40" i="47"/>
  <c r="AM40" i="47" s="1"/>
  <c r="D130" i="47"/>
  <c r="G85" i="47"/>
  <c r="B85" i="47" s="1"/>
  <c r="G92" i="47"/>
  <c r="B92" i="47" s="1"/>
  <c r="G55" i="47"/>
  <c r="B55" i="47" s="1"/>
  <c r="G20" i="47"/>
  <c r="B20" i="47" s="1"/>
  <c r="G126" i="47"/>
  <c r="B126" i="47" s="1"/>
  <c r="G54" i="47"/>
  <c r="B54" i="47" s="1"/>
  <c r="G39" i="47"/>
  <c r="B39" i="47" s="1"/>
  <c r="G22" i="47"/>
  <c r="B22" i="47" s="1"/>
  <c r="G136" i="47"/>
  <c r="B136" i="47" s="1"/>
  <c r="C97" i="47"/>
  <c r="AM97" i="47" s="1"/>
  <c r="G111" i="47"/>
  <c r="B111" i="47" s="1"/>
  <c r="C31" i="47"/>
  <c r="AM31" i="47" s="1"/>
  <c r="D31" i="47"/>
  <c r="G43" i="47"/>
  <c r="B43" i="47" s="1"/>
  <c r="C110" i="47"/>
  <c r="AM110" i="47" s="1"/>
  <c r="D110" i="47"/>
  <c r="C75" i="47"/>
  <c r="AM75" i="47" s="1"/>
  <c r="D75" i="47"/>
  <c r="G93" i="47"/>
  <c r="B93" i="47" s="1"/>
  <c r="C89" i="47"/>
  <c r="AM89" i="47" s="1"/>
  <c r="G23" i="47"/>
  <c r="B23" i="47" s="1"/>
  <c r="S1" i="47"/>
  <c r="G1" i="61"/>
  <c r="L1" i="112"/>
  <c r="G100" i="47"/>
  <c r="B100" i="47" s="1"/>
  <c r="G127" i="47"/>
  <c r="B127" i="47" s="1"/>
  <c r="G115" i="47"/>
  <c r="B115" i="47" s="1"/>
  <c r="G83" i="47"/>
  <c r="B83" i="47" s="1"/>
  <c r="G38" i="47"/>
  <c r="B38" i="47" s="1"/>
  <c r="G128" i="47"/>
  <c r="B128" i="47" s="1"/>
  <c r="G135" i="47"/>
  <c r="B135" i="47" s="1"/>
  <c r="G32" i="47"/>
  <c r="B32" i="47" s="1"/>
  <c r="G86" i="47"/>
  <c r="B86" i="47" s="1"/>
  <c r="G121" i="47"/>
  <c r="B121" i="47" s="1"/>
  <c r="G124" i="47"/>
  <c r="B124" i="47" s="1"/>
  <c r="G46" i="47"/>
  <c r="B46" i="47" s="1"/>
  <c r="C96" i="47"/>
  <c r="AM96" i="47" s="1"/>
  <c r="D96" i="47"/>
  <c r="G123" i="47"/>
  <c r="B123" i="47" s="1"/>
  <c r="G125" i="47"/>
  <c r="B125" i="47" s="1"/>
  <c r="G47" i="47"/>
  <c r="B47" i="47" s="1"/>
  <c r="G50" i="47"/>
  <c r="B50" i="47" s="1"/>
  <c r="G64" i="47"/>
  <c r="B64" i="47" s="1"/>
  <c r="C76" i="47"/>
  <c r="AM76" i="47" s="1"/>
  <c r="D76" i="47"/>
  <c r="D114" i="47"/>
  <c r="C114" i="47"/>
  <c r="AM114" i="47" s="1"/>
  <c r="C131" i="47"/>
  <c r="AM131" i="47" s="1"/>
  <c r="D131" i="47"/>
  <c r="D138" i="47"/>
  <c r="G53" i="47"/>
  <c r="B53" i="47" s="1"/>
  <c r="G15" i="47"/>
  <c r="B15" i="47" s="1"/>
  <c r="G41" i="47"/>
  <c r="B41" i="47" s="1"/>
  <c r="G24" i="47"/>
  <c r="B24" i="47" s="1"/>
  <c r="G91" i="47"/>
  <c r="B91" i="47" s="1"/>
  <c r="G95" i="47"/>
  <c r="B95" i="47" s="1"/>
  <c r="G87" i="47"/>
  <c r="B87" i="47" s="1"/>
  <c r="G45" i="47"/>
  <c r="B45" i="47" s="1"/>
  <c r="G132" i="47"/>
  <c r="B132" i="47" s="1"/>
  <c r="G103" i="47"/>
  <c r="B103" i="47" s="1"/>
  <c r="G116" i="47"/>
  <c r="B116" i="47" s="1"/>
  <c r="C137" i="47"/>
  <c r="AM137" i="47" s="1"/>
  <c r="D137" i="47"/>
  <c r="G16" i="47"/>
  <c r="B16" i="47" s="1"/>
  <c r="G120" i="47"/>
  <c r="B120" i="47" s="1"/>
  <c r="G73" i="47"/>
  <c r="B73" i="47" s="1"/>
  <c r="G141" i="47"/>
  <c r="B141" i="47" s="1"/>
  <c r="C61" i="47"/>
  <c r="AM61" i="47" s="1"/>
  <c r="D61" i="47"/>
  <c r="D58" i="47" l="1"/>
  <c r="D59" i="47"/>
  <c r="D65" i="47"/>
  <c r="D140" i="47"/>
  <c r="C56" i="47"/>
  <c r="AM56" i="47" s="1"/>
  <c r="C12" i="47"/>
  <c r="AM12" i="47" s="1"/>
  <c r="D35" i="47"/>
  <c r="C74" i="47"/>
  <c r="AM74" i="47" s="1"/>
  <c r="D109" i="47"/>
  <c r="C109" i="47"/>
  <c r="AM109" i="47" s="1"/>
  <c r="D105" i="47"/>
  <c r="G52" i="47"/>
  <c r="B52" i="47" s="1"/>
  <c r="G11" i="47"/>
  <c r="B11" i="47" s="1"/>
  <c r="G122" i="47"/>
  <c r="B122" i="47" s="1"/>
  <c r="G139" i="47"/>
  <c r="B139" i="47" s="1"/>
  <c r="G60" i="47"/>
  <c r="B60" i="47" s="1"/>
  <c r="G112" i="47"/>
  <c r="B112" i="47" s="1"/>
  <c r="D68" i="47"/>
  <c r="G28" i="47"/>
  <c r="B28" i="47" s="1"/>
  <c r="G21" i="47"/>
  <c r="B21" i="47" s="1"/>
  <c r="G51" i="47"/>
  <c r="B51" i="47" s="1"/>
  <c r="G145" i="47"/>
  <c r="B145" i="47" s="1"/>
  <c r="G77" i="47"/>
  <c r="B77" i="47" s="1"/>
  <c r="G27" i="47"/>
  <c r="B27" i="47" s="1"/>
  <c r="G42" i="47"/>
  <c r="B42" i="47" s="1"/>
  <c r="C120" i="47"/>
  <c r="AM120" i="47" s="1"/>
  <c r="D120" i="47"/>
  <c r="D132" i="47"/>
  <c r="C132" i="47"/>
  <c r="AM132" i="47" s="1"/>
  <c r="D18" i="47"/>
  <c r="C18" i="47"/>
  <c r="AM18" i="47" s="1"/>
  <c r="C73" i="47"/>
  <c r="AM73" i="47" s="1"/>
  <c r="D73" i="47"/>
  <c r="D16" i="47"/>
  <c r="C16" i="47"/>
  <c r="AM16" i="47" s="1"/>
  <c r="C103" i="47"/>
  <c r="AM103" i="47" s="1"/>
  <c r="D103" i="47"/>
  <c r="C45" i="47"/>
  <c r="AM45" i="47" s="1"/>
  <c r="D45" i="47"/>
  <c r="C95" i="47"/>
  <c r="AM95" i="47" s="1"/>
  <c r="D95" i="47"/>
  <c r="D91" i="47"/>
  <c r="C91" i="47"/>
  <c r="AM91" i="47" s="1"/>
  <c r="C147" i="47"/>
  <c r="AM147" i="47" s="1"/>
  <c r="D147" i="47"/>
  <c r="C133" i="47"/>
  <c r="AM133" i="47" s="1"/>
  <c r="D133" i="47"/>
  <c r="C15" i="47"/>
  <c r="AM15" i="47" s="1"/>
  <c r="D15" i="47"/>
  <c r="C64" i="47"/>
  <c r="AM64" i="47" s="1"/>
  <c r="D64" i="47"/>
  <c r="C47" i="47"/>
  <c r="AM47" i="47" s="1"/>
  <c r="D47" i="47"/>
  <c r="D71" i="47"/>
  <c r="C71" i="47"/>
  <c r="AM71" i="47" s="1"/>
  <c r="C49" i="47"/>
  <c r="AM49" i="47" s="1"/>
  <c r="D49" i="47"/>
  <c r="D46" i="47"/>
  <c r="C46" i="47"/>
  <c r="AM46" i="47" s="1"/>
  <c r="C121" i="47"/>
  <c r="AM121" i="47" s="1"/>
  <c r="D121" i="47"/>
  <c r="C33" i="47"/>
  <c r="AM33" i="47" s="1"/>
  <c r="D33" i="47"/>
  <c r="C99" i="47"/>
  <c r="AM99" i="47" s="1"/>
  <c r="D99" i="47"/>
  <c r="C62" i="47"/>
  <c r="AM62" i="47" s="1"/>
  <c r="D62" i="47"/>
  <c r="C128" i="47"/>
  <c r="AM128" i="47" s="1"/>
  <c r="D128" i="47"/>
  <c r="C38" i="47"/>
  <c r="AM38" i="47" s="1"/>
  <c r="D38" i="47"/>
  <c r="C17" i="47"/>
  <c r="AM17" i="47" s="1"/>
  <c r="D17" i="47"/>
  <c r="C83" i="47"/>
  <c r="AM83" i="47" s="1"/>
  <c r="D83" i="47"/>
  <c r="C127" i="47"/>
  <c r="AM127" i="47" s="1"/>
  <c r="D127" i="47"/>
  <c r="C93" i="47"/>
  <c r="AM93" i="47" s="1"/>
  <c r="D93" i="47"/>
  <c r="C43" i="47"/>
  <c r="AM43" i="47" s="1"/>
  <c r="D43" i="47"/>
  <c r="C111" i="47"/>
  <c r="AM111" i="47" s="1"/>
  <c r="D111" i="47"/>
  <c r="C117" i="47"/>
  <c r="AM117" i="47" s="1"/>
  <c r="D117" i="47"/>
  <c r="C107" i="47"/>
  <c r="AM107" i="47" s="1"/>
  <c r="D107" i="47"/>
  <c r="C129" i="47"/>
  <c r="AM129" i="47" s="1"/>
  <c r="D129" i="47"/>
  <c r="D136" i="47"/>
  <c r="C136" i="47"/>
  <c r="AM136" i="47" s="1"/>
  <c r="D144" i="47"/>
  <c r="C144" i="47"/>
  <c r="AM144" i="47" s="1"/>
  <c r="C39" i="47"/>
  <c r="AM39" i="47" s="1"/>
  <c r="D39" i="47"/>
  <c r="C126" i="47"/>
  <c r="AM126" i="47" s="1"/>
  <c r="D126" i="47"/>
  <c r="C55" i="47"/>
  <c r="AM55" i="47" s="1"/>
  <c r="D55" i="47"/>
  <c r="D102" i="47"/>
  <c r="C102" i="47"/>
  <c r="AM102" i="47" s="1"/>
  <c r="C85" i="47"/>
  <c r="AM85" i="47" s="1"/>
  <c r="D85" i="47"/>
  <c r="C57" i="47"/>
  <c r="AM57" i="47" s="1"/>
  <c r="D57" i="47"/>
  <c r="D148" i="47"/>
  <c r="C148" i="47"/>
  <c r="AM148" i="47" s="1"/>
  <c r="C106" i="47"/>
  <c r="AM106" i="47" s="1"/>
  <c r="D106" i="47"/>
  <c r="C113" i="47"/>
  <c r="AM113" i="47" s="1"/>
  <c r="D113" i="47"/>
  <c r="D79" i="47"/>
  <c r="C79" i="47"/>
  <c r="AM79" i="47" s="1"/>
  <c r="C29" i="47"/>
  <c r="AM29" i="47" s="1"/>
  <c r="D29" i="47"/>
  <c r="C30" i="47"/>
  <c r="AM30" i="47" s="1"/>
  <c r="D30" i="47"/>
  <c r="C14" i="47"/>
  <c r="AM14" i="47" s="1"/>
  <c r="D14" i="47"/>
  <c r="C101" i="47"/>
  <c r="AM101" i="47" s="1"/>
  <c r="D101" i="47"/>
  <c r="C67" i="47"/>
  <c r="AM67" i="47" s="1"/>
  <c r="D67" i="47"/>
  <c r="C69" i="47"/>
  <c r="AM69" i="47" s="1"/>
  <c r="D69" i="47"/>
  <c r="D90" i="47"/>
  <c r="C90" i="47"/>
  <c r="AM90" i="47" s="1"/>
  <c r="C141" i="47"/>
  <c r="AM141" i="47" s="1"/>
  <c r="D141" i="47"/>
  <c r="D116" i="47"/>
  <c r="C116" i="47"/>
  <c r="AM116" i="47" s="1"/>
  <c r="C87" i="47"/>
  <c r="AM87" i="47" s="1"/>
  <c r="D87" i="47"/>
  <c r="C13" i="47"/>
  <c r="AM13" i="47" s="1"/>
  <c r="D13" i="47"/>
  <c r="C24" i="47"/>
  <c r="AM24" i="47" s="1"/>
  <c r="D24" i="47"/>
  <c r="C41" i="47"/>
  <c r="AM41" i="47" s="1"/>
  <c r="D41" i="47"/>
  <c r="C53" i="47"/>
  <c r="AM53" i="47" s="1"/>
  <c r="D53" i="47"/>
  <c r="D50" i="47"/>
  <c r="C50" i="47"/>
  <c r="AM50" i="47" s="1"/>
  <c r="C125" i="47"/>
  <c r="AM125" i="47" s="1"/>
  <c r="D125" i="47"/>
  <c r="D123" i="47"/>
  <c r="C123" i="47"/>
  <c r="AM123" i="47" s="1"/>
  <c r="D34" i="47"/>
  <c r="C34" i="47"/>
  <c r="AM34" i="47" s="1"/>
  <c r="C124" i="47"/>
  <c r="AM124" i="47" s="1"/>
  <c r="D124" i="47"/>
  <c r="D86" i="47"/>
  <c r="C86" i="47"/>
  <c r="AM86" i="47" s="1"/>
  <c r="C32" i="47"/>
  <c r="AM32" i="47" s="1"/>
  <c r="D32" i="47"/>
  <c r="D134" i="47"/>
  <c r="C134" i="47"/>
  <c r="AM134" i="47" s="1"/>
  <c r="D135" i="47"/>
  <c r="C135" i="47"/>
  <c r="AM135" i="47" s="1"/>
  <c r="D72" i="47"/>
  <c r="C72" i="47"/>
  <c r="AM72" i="47" s="1"/>
  <c r="D63" i="47"/>
  <c r="C63" i="47"/>
  <c r="AM63" i="47" s="1"/>
  <c r="C84" i="47"/>
  <c r="AM84" i="47" s="1"/>
  <c r="D84" i="47"/>
  <c r="C115" i="47"/>
  <c r="AM115" i="47" s="1"/>
  <c r="D115" i="47"/>
  <c r="D100" i="47"/>
  <c r="C100" i="47"/>
  <c r="AM100" i="47" s="1"/>
  <c r="D23" i="47"/>
  <c r="C23" i="47"/>
  <c r="AM23" i="47" s="1"/>
  <c r="C36" i="47"/>
  <c r="AM36" i="47" s="1"/>
  <c r="D36" i="47"/>
  <c r="D37" i="47"/>
  <c r="C37" i="47"/>
  <c r="AM37" i="47" s="1"/>
  <c r="C88" i="47"/>
  <c r="AM88" i="47" s="1"/>
  <c r="D88" i="47"/>
  <c r="D80" i="47"/>
  <c r="C80" i="47"/>
  <c r="AM80" i="47" s="1"/>
  <c r="C146" i="47"/>
  <c r="AM146" i="47" s="1"/>
  <c r="D146" i="47"/>
  <c r="C142" i="47"/>
  <c r="AM142" i="47" s="1"/>
  <c r="D142" i="47"/>
  <c r="D22" i="47"/>
  <c r="C22" i="47"/>
  <c r="AM22" i="47" s="1"/>
  <c r="C82" i="47"/>
  <c r="AM82" i="47" s="1"/>
  <c r="D82" i="47"/>
  <c r="C54" i="47"/>
  <c r="AM54" i="47" s="1"/>
  <c r="D54" i="47"/>
  <c r="C20" i="47"/>
  <c r="AM20" i="47" s="1"/>
  <c r="D20" i="47"/>
  <c r="C108" i="47"/>
  <c r="AM108" i="47" s="1"/>
  <c r="D108" i="47"/>
  <c r="C92" i="47"/>
  <c r="AM92" i="47" s="1"/>
  <c r="D92" i="47"/>
  <c r="C143" i="47"/>
  <c r="AM143" i="47" s="1"/>
  <c r="D143" i="47"/>
  <c r="D98" i="47"/>
  <c r="C98" i="47"/>
  <c r="AM98" i="47" s="1"/>
  <c r="C119" i="47"/>
  <c r="AM119" i="47" s="1"/>
  <c r="D119" i="47"/>
  <c r="C19" i="47"/>
  <c r="AM19" i="47" s="1"/>
  <c r="D19" i="47"/>
  <c r="D48" i="47"/>
  <c r="C48" i="47"/>
  <c r="AM48" i="47" s="1"/>
  <c r="C25" i="47"/>
  <c r="AM25" i="47" s="1"/>
  <c r="D25" i="47"/>
  <c r="D118" i="47"/>
  <c r="C118" i="47"/>
  <c r="AM118" i="47" s="1"/>
  <c r="C66" i="47"/>
  <c r="AM66" i="47" s="1"/>
  <c r="D66" i="47"/>
  <c r="C94" i="47"/>
  <c r="AM94" i="47" s="1"/>
  <c r="D94" i="47"/>
  <c r="C70" i="47"/>
  <c r="AM70" i="47" s="1"/>
  <c r="D70" i="47"/>
  <c r="C104" i="47"/>
  <c r="AM104" i="47" s="1"/>
  <c r="D104" i="47"/>
  <c r="C81" i="47"/>
  <c r="AM81" i="47" s="1"/>
  <c r="D81" i="47"/>
  <c r="C44" i="47"/>
  <c r="AM44" i="47" s="1"/>
  <c r="D44" i="47"/>
  <c r="C26" i="47"/>
  <c r="AM26" i="47" s="1"/>
  <c r="D26" i="47"/>
  <c r="C52" i="47" l="1"/>
  <c r="AM52" i="47" s="1"/>
  <c r="D52" i="47"/>
  <c r="D11" i="47"/>
  <c r="C11" i="47"/>
  <c r="AM11" i="47" s="1"/>
  <c r="D145" i="47"/>
  <c r="C145" i="47"/>
  <c r="AM145" i="47" s="1"/>
  <c r="D122" i="47"/>
  <c r="C122" i="47"/>
  <c r="AM122" i="47" s="1"/>
  <c r="K7" i="47"/>
  <c r="D51" i="47"/>
  <c r="C51" i="47"/>
  <c r="AM51" i="47" s="1"/>
  <c r="C77" i="47"/>
  <c r="AM77" i="47" s="1"/>
  <c r="D77" i="47"/>
  <c r="D28" i="47"/>
  <c r="C28" i="47"/>
  <c r="AM28" i="47" s="1"/>
  <c r="D139" i="47"/>
  <c r="C139" i="47"/>
  <c r="AM139" i="47" s="1"/>
  <c r="C42" i="47"/>
  <c r="AM42" i="47" s="1"/>
  <c r="D42" i="47"/>
  <c r="D112" i="47"/>
  <c r="C112" i="47"/>
  <c r="AM112" i="47" s="1"/>
  <c r="C27" i="47"/>
  <c r="AM27" i="47" s="1"/>
  <c r="D27" i="47"/>
  <c r="C21" i="47"/>
  <c r="AM21" i="47" s="1"/>
  <c r="D21" i="47"/>
  <c r="C60" i="47"/>
  <c r="AM60" i="47" s="1"/>
  <c r="D60" i="47"/>
  <c r="A26" i="75" l="1"/>
  <c r="A49" i="75"/>
  <c r="AL65" i="47"/>
  <c r="C57" i="75" s="1"/>
  <c r="B65" i="48" s="1"/>
  <c r="AL126" i="47"/>
  <c r="A53" i="75"/>
  <c r="AL55" i="47"/>
  <c r="A74" i="75"/>
  <c r="AL81" i="47"/>
  <c r="A44" i="75"/>
  <c r="A48" i="75"/>
  <c r="AL49" i="47"/>
  <c r="C41" i="75" s="1"/>
  <c r="B11" i="48" s="1"/>
  <c r="AL19" i="47"/>
  <c r="C11" i="75" s="1"/>
  <c r="B27" i="48" s="1"/>
  <c r="L99" i="75"/>
  <c r="AL120" i="47"/>
  <c r="A129" i="75"/>
  <c r="AL54" i="47"/>
  <c r="AL11" i="47"/>
  <c r="C3" i="75" s="1"/>
  <c r="B3" i="48" s="1"/>
  <c r="A76" i="75"/>
  <c r="L24" i="75"/>
  <c r="AL102" i="47"/>
  <c r="AL105" i="47"/>
  <c r="A116" i="75"/>
  <c r="AL33" i="47"/>
  <c r="C25" i="75" s="1"/>
  <c r="B47" i="48" s="1"/>
  <c r="L22" i="75"/>
  <c r="L10" i="75"/>
  <c r="AL70" i="47"/>
  <c r="C62" i="75" s="1"/>
  <c r="B45" i="48" s="1"/>
  <c r="L69" i="75"/>
  <c r="A93" i="75"/>
  <c r="AL48" i="47"/>
  <c r="C40" i="75" s="1"/>
  <c r="B8" i="48" s="1"/>
  <c r="P2" i="75"/>
  <c r="AL22" i="47"/>
  <c r="C14" i="75" s="1"/>
  <c r="B38" i="48" s="1"/>
  <c r="A39" i="75"/>
  <c r="L74" i="75"/>
  <c r="A27" i="75"/>
  <c r="AL45" i="47"/>
  <c r="C37" i="75" s="1"/>
  <c r="B7" i="48" s="1"/>
  <c r="A130" i="75"/>
  <c r="L76" i="75"/>
  <c r="L25" i="75"/>
  <c r="AL38" i="47"/>
  <c r="C30" i="75" s="1"/>
  <c r="B28" i="48" s="1"/>
  <c r="A35" i="75"/>
  <c r="A118" i="75"/>
  <c r="L88" i="75"/>
  <c r="A6" i="75"/>
  <c r="AL40" i="47"/>
  <c r="C32" i="75" s="1"/>
  <c r="B22" i="48" s="1"/>
  <c r="L9" i="75"/>
  <c r="AL127" i="47"/>
  <c r="L126" i="75"/>
  <c r="A51" i="75"/>
  <c r="A80" i="75"/>
  <c r="AL92" i="47"/>
  <c r="L60" i="75"/>
  <c r="L7" i="75"/>
  <c r="A121" i="75"/>
  <c r="AL30" i="47"/>
  <c r="C22" i="75" s="1"/>
  <c r="B59" i="48" s="1"/>
  <c r="A9" i="75"/>
  <c r="L70" i="75"/>
  <c r="AL84" i="47"/>
  <c r="L59" i="75"/>
  <c r="AL64" i="47"/>
  <c r="C56" i="75" s="1"/>
  <c r="B64" i="48" s="1"/>
  <c r="A37" i="75"/>
  <c r="L110" i="75"/>
  <c r="AL139" i="47"/>
  <c r="L80" i="75"/>
  <c r="A64" i="75"/>
  <c r="A57" i="75"/>
  <c r="AL16" i="47"/>
  <c r="C8" i="75" s="1"/>
  <c r="B18" i="48" s="1"/>
  <c r="L48" i="75"/>
  <c r="L54" i="75"/>
  <c r="L96" i="75"/>
  <c r="AL99" i="47"/>
  <c r="L67" i="75"/>
  <c r="L18" i="75"/>
  <c r="L108" i="75"/>
  <c r="L33" i="75"/>
  <c r="L29" i="75"/>
  <c r="L17" i="75"/>
  <c r="A20" i="75"/>
  <c r="L26" i="75"/>
  <c r="AL59" i="47"/>
  <c r="AL123" i="47"/>
  <c r="A72" i="75"/>
  <c r="AL133" i="47"/>
  <c r="AL80" i="47"/>
  <c r="A109" i="75"/>
  <c r="AL37" i="47"/>
  <c r="C29" i="75" s="1"/>
  <c r="B31" i="48" s="1"/>
  <c r="AL28" i="47"/>
  <c r="C20" i="75" s="1"/>
  <c r="B62" i="48" s="1"/>
  <c r="A96" i="75"/>
  <c r="A79" i="75"/>
  <c r="L86" i="75"/>
  <c r="A25" i="75"/>
  <c r="A107" i="75"/>
  <c r="AL147" i="47"/>
  <c r="A73" i="75"/>
  <c r="A52" i="75"/>
  <c r="AL39" i="47"/>
  <c r="C31" i="75" s="1"/>
  <c r="B25" i="48" s="1"/>
  <c r="A56" i="75"/>
  <c r="L34" i="75"/>
  <c r="A83" i="75"/>
  <c r="AL67" i="47"/>
  <c r="C59" i="75" s="1"/>
  <c r="B57" i="48" s="1"/>
  <c r="A127" i="75"/>
  <c r="A70" i="75"/>
  <c r="AL68" i="47"/>
  <c r="C60" i="75" s="1"/>
  <c r="B53" i="48" s="1"/>
  <c r="AL77" i="47"/>
  <c r="AL43" i="47"/>
  <c r="C35" i="75" s="1"/>
  <c r="B13" i="48" s="1"/>
  <c r="AL66" i="47"/>
  <c r="C58" i="75" s="1"/>
  <c r="B61" i="48" s="1"/>
  <c r="L3" i="75"/>
  <c r="A34" i="75"/>
  <c r="AL75" i="47"/>
  <c r="A10" i="75"/>
  <c r="L122" i="75"/>
  <c r="AL44" i="47"/>
  <c r="C36" i="75" s="1"/>
  <c r="B10" i="48" s="1"/>
  <c r="L36" i="75"/>
  <c r="L125" i="75"/>
  <c r="AL32" i="47"/>
  <c r="C24" i="75" s="1"/>
  <c r="B51" i="48" s="1"/>
  <c r="AL116" i="47"/>
  <c r="A32" i="75"/>
  <c r="AL125" i="47"/>
  <c r="A92" i="75"/>
  <c r="A21" i="75"/>
  <c r="A36" i="75"/>
  <c r="L117" i="75"/>
  <c r="AL131" i="47"/>
  <c r="L128" i="75"/>
  <c r="A85" i="75"/>
  <c r="A16" i="75"/>
  <c r="L11" i="75"/>
  <c r="A108" i="75"/>
  <c r="AL113" i="47"/>
  <c r="C118" i="75" s="1"/>
  <c r="B118" i="48" s="1"/>
  <c r="L5" i="75"/>
  <c r="AL141" i="47"/>
  <c r="A119" i="75"/>
  <c r="A106" i="75"/>
  <c r="L107" i="75"/>
  <c r="AL135" i="47"/>
  <c r="AL18" i="47"/>
  <c r="C10" i="75" s="1"/>
  <c r="B24" i="48" s="1"/>
  <c r="A88" i="75"/>
  <c r="AL46" i="47"/>
  <c r="C38" i="75" s="1"/>
  <c r="B4" i="48" s="1"/>
  <c r="L111" i="75"/>
  <c r="A69" i="75"/>
  <c r="L89" i="75"/>
  <c r="L63" i="75"/>
  <c r="AL50" i="47"/>
  <c r="C42" i="75" s="1"/>
  <c r="B14" i="48" s="1"/>
  <c r="L66" i="75"/>
  <c r="L119" i="75"/>
  <c r="AL106" i="47"/>
  <c r="L83" i="75"/>
  <c r="A61" i="75"/>
  <c r="A42" i="75"/>
  <c r="AL69" i="47"/>
  <c r="C61" i="75" s="1"/>
  <c r="B49" i="48" s="1"/>
  <c r="L93" i="75"/>
  <c r="A23" i="75"/>
  <c r="A45" i="75"/>
  <c r="AL21" i="47"/>
  <c r="C13" i="75" s="1"/>
  <c r="B34" i="48" s="1"/>
  <c r="L16" i="75"/>
  <c r="L109" i="75"/>
  <c r="AL53" i="47"/>
  <c r="AL57" i="47"/>
  <c r="A126" i="75"/>
  <c r="AL132" i="47"/>
  <c r="C124" i="75" s="1"/>
  <c r="B124" i="48" s="1"/>
  <c r="L44" i="75"/>
  <c r="AL114" i="47"/>
  <c r="AL89" i="47"/>
  <c r="L32" i="75"/>
  <c r="L47" i="75"/>
  <c r="A17" i="75"/>
  <c r="A102" i="75"/>
  <c r="AL111" i="47"/>
  <c r="AL23" i="47"/>
  <c r="C15" i="75" s="1"/>
  <c r="B42" i="48" s="1"/>
  <c r="A58" i="75"/>
  <c r="A67" i="75"/>
  <c r="L27" i="75"/>
  <c r="L81" i="75"/>
  <c r="L6" i="75"/>
  <c r="L56" i="75"/>
  <c r="AL134" i="47"/>
  <c r="L97" i="75"/>
  <c r="L46" i="75"/>
  <c r="L114" i="75"/>
  <c r="AL145" i="47"/>
  <c r="AL100" i="47"/>
  <c r="A47" i="75"/>
  <c r="AL146" i="47"/>
  <c r="A43" i="75"/>
  <c r="L20" i="75"/>
  <c r="L87" i="75"/>
  <c r="AL71" i="47"/>
  <c r="C63" i="75" s="1"/>
  <c r="B41" i="48" s="1"/>
  <c r="A120" i="75"/>
  <c r="L85" i="75"/>
  <c r="A113" i="75"/>
  <c r="AL109" i="47"/>
  <c r="C108" i="75" s="1"/>
  <c r="B108" i="48" s="1"/>
  <c r="AL85" i="47"/>
  <c r="L102" i="75"/>
  <c r="L15" i="75"/>
  <c r="L23" i="75"/>
  <c r="AL56" i="47"/>
  <c r="A40" i="75"/>
  <c r="L68" i="75"/>
  <c r="L106" i="75"/>
  <c r="L95" i="75"/>
  <c r="L71" i="75"/>
  <c r="A11" i="75"/>
  <c r="AL93" i="47"/>
  <c r="L37" i="75"/>
  <c r="A112" i="75"/>
  <c r="L4" i="75"/>
  <c r="L61" i="75"/>
  <c r="A5" i="75"/>
  <c r="AL78" i="47"/>
  <c r="AL26" i="47"/>
  <c r="C18" i="75" s="1"/>
  <c r="B54" i="48" s="1"/>
  <c r="A82" i="75"/>
  <c r="AL62" i="47"/>
  <c r="C54" i="75" s="1"/>
  <c r="B56" i="48" s="1"/>
  <c r="AL98" i="47"/>
  <c r="AL12" i="47"/>
  <c r="C4" i="75" s="1"/>
  <c r="B6" i="48" s="1"/>
  <c r="AL20" i="47"/>
  <c r="C12" i="75" s="1"/>
  <c r="B30" i="48" s="1"/>
  <c r="AL73" i="47"/>
  <c r="C65" i="75" s="1"/>
  <c r="B33" i="48" s="1"/>
  <c r="AL29" i="47"/>
  <c r="C21" i="75" s="1"/>
  <c r="B63" i="48" s="1"/>
  <c r="L64" i="75"/>
  <c r="AL34" i="47"/>
  <c r="C26" i="75" s="1"/>
  <c r="B43" i="48" s="1"/>
  <c r="A115" i="75"/>
  <c r="A125" i="75"/>
  <c r="L43" i="75"/>
  <c r="L50" i="75"/>
  <c r="A124" i="75"/>
  <c r="L57" i="75"/>
  <c r="AL83" i="47"/>
  <c r="AL17" i="47"/>
  <c r="C9" i="75" s="1"/>
  <c r="B21" i="48" s="1"/>
  <c r="L100" i="75"/>
  <c r="A3" i="75"/>
  <c r="L98" i="75"/>
  <c r="AL86" i="47"/>
  <c r="A91" i="75"/>
  <c r="A84" i="75"/>
  <c r="A14" i="75"/>
  <c r="AL122" i="47"/>
  <c r="A75" i="75"/>
  <c r="I3" i="112"/>
  <c r="A123" i="75"/>
  <c r="AL142" i="47"/>
  <c r="A114" i="75"/>
  <c r="L105" i="75"/>
  <c r="AL118" i="47"/>
  <c r="A111" i="75"/>
  <c r="A8" i="75"/>
  <c r="AL82" i="47"/>
  <c r="A18" i="75"/>
  <c r="L12" i="75"/>
  <c r="L42" i="75"/>
  <c r="AL128" i="47"/>
  <c r="L19" i="75"/>
  <c r="A50" i="75"/>
  <c r="A29" i="75"/>
  <c r="AL41" i="47"/>
  <c r="C33" i="75" s="1"/>
  <c r="B19" i="48" s="1"/>
  <c r="A97" i="75"/>
  <c r="AL94" i="47"/>
  <c r="L14" i="75"/>
  <c r="A110" i="75"/>
  <c r="A77" i="75"/>
  <c r="A19" i="75"/>
  <c r="A63" i="75"/>
  <c r="A46" i="75"/>
  <c r="AL137" i="47"/>
  <c r="A28" i="75"/>
  <c r="A128" i="75"/>
  <c r="AL104" i="47"/>
  <c r="L55" i="75"/>
  <c r="L72" i="75"/>
  <c r="A98" i="75"/>
  <c r="A4" i="75"/>
  <c r="L77" i="75"/>
  <c r="AL138" i="47"/>
  <c r="AL136" i="47"/>
  <c r="L41" i="75"/>
  <c r="A41" i="75"/>
  <c r="L103" i="75"/>
  <c r="L53" i="75"/>
  <c r="L62" i="75"/>
  <c r="L39" i="75"/>
  <c r="L58" i="75"/>
  <c r="AL103" i="47"/>
  <c r="A33" i="75"/>
  <c r="AL27" i="47"/>
  <c r="C19" i="75" s="1"/>
  <c r="B58" i="48" s="1"/>
  <c r="AL112" i="47"/>
  <c r="AL52" i="47"/>
  <c r="A122" i="75"/>
  <c r="L118" i="75"/>
  <c r="AL107" i="47"/>
  <c r="AL110" i="47"/>
  <c r="C103" i="75" s="1"/>
  <c r="B103" i="48" s="1"/>
  <c r="L127" i="75"/>
  <c r="L130" i="75"/>
  <c r="L38" i="75"/>
  <c r="L31" i="75"/>
  <c r="A87" i="75"/>
  <c r="A22" i="75"/>
  <c r="AL91" i="47"/>
  <c r="C130" i="75" s="1"/>
  <c r="B130" i="48" s="1"/>
  <c r="AL90" i="47"/>
  <c r="AL121" i="47"/>
  <c r="AL72" i="47"/>
  <c r="C64" i="75" s="1"/>
  <c r="B37" i="48" s="1"/>
  <c r="A55" i="75"/>
  <c r="L40" i="75"/>
  <c r="A65" i="75"/>
  <c r="G2" i="61"/>
  <c r="AL60" i="47"/>
  <c r="C51" i="75" s="1"/>
  <c r="B44" i="48" s="1"/>
  <c r="AL140" i="47"/>
  <c r="L75" i="75"/>
  <c r="AL13" i="47"/>
  <c r="C5" i="75" s="1"/>
  <c r="B9" i="48" s="1"/>
  <c r="AL47" i="47"/>
  <c r="C39" i="75" s="1"/>
  <c r="B5" i="48" s="1"/>
  <c r="A86" i="75"/>
  <c r="A89" i="75"/>
  <c r="AL115" i="47"/>
  <c r="C106" i="75" s="1"/>
  <c r="B106" i="48" s="1"/>
  <c r="A38" i="75"/>
  <c r="L21" i="75"/>
  <c r="L129" i="75"/>
  <c r="L82" i="75"/>
  <c r="A71" i="75"/>
  <c r="AL144" i="47"/>
  <c r="L112" i="75"/>
  <c r="AL148" i="47"/>
  <c r="AL63" i="47"/>
  <c r="C55" i="75" s="1"/>
  <c r="B60" i="48" s="1"/>
  <c r="L92" i="75"/>
  <c r="L52" i="75"/>
  <c r="L13" i="75"/>
  <c r="AL79" i="47"/>
  <c r="A99" i="75"/>
  <c r="L28" i="75"/>
  <c r="A12" i="75"/>
  <c r="AL87" i="47"/>
  <c r="A117" i="75"/>
  <c r="L45" i="75"/>
  <c r="L124" i="75"/>
  <c r="L101" i="75"/>
  <c r="AL124" i="47"/>
  <c r="AL35" i="47"/>
  <c r="C27" i="75" s="1"/>
  <c r="B39" i="48" s="1"/>
  <c r="L113" i="75"/>
  <c r="A101" i="75"/>
  <c r="AL117" i="47"/>
  <c r="AL95" i="47"/>
  <c r="A100" i="75"/>
  <c r="A31" i="75"/>
  <c r="AL119" i="47"/>
  <c r="L116" i="75"/>
  <c r="L73" i="75"/>
  <c r="AL108" i="47"/>
  <c r="AL51" i="47"/>
  <c r="L78" i="75"/>
  <c r="L94" i="75"/>
  <c r="L91" i="75"/>
  <c r="L84" i="75"/>
  <c r="A68" i="75"/>
  <c r="L121" i="75"/>
  <c r="AL143" i="47"/>
  <c r="AL25" i="47"/>
  <c r="C17" i="75" s="1"/>
  <c r="B50" i="48" s="1"/>
  <c r="AL31" i="47"/>
  <c r="C23" i="75" s="1"/>
  <c r="B55" i="48" s="1"/>
  <c r="A62" i="75"/>
  <c r="AL96" i="47"/>
  <c r="C119" i="75" s="1"/>
  <c r="B119" i="48" s="1"/>
  <c r="A103" i="75"/>
  <c r="AL42" i="47"/>
  <c r="C34" i="75" s="1"/>
  <c r="B16" i="48" s="1"/>
  <c r="AL14" i="47"/>
  <c r="C6" i="75" s="1"/>
  <c r="B12" i="48" s="1"/>
  <c r="L65" i="75"/>
  <c r="A90" i="75"/>
  <c r="AL76" i="47"/>
  <c r="L8" i="75"/>
  <c r="F3" i="111"/>
  <c r="A15" i="75"/>
  <c r="AL97" i="47"/>
  <c r="C74" i="75" s="1"/>
  <c r="B79" i="48" s="1"/>
  <c r="A24" i="75"/>
  <c r="AL24" i="47"/>
  <c r="C16" i="75" s="1"/>
  <c r="B46" i="48" s="1"/>
  <c r="L49" i="75"/>
  <c r="A78" i="75"/>
  <c r="L115" i="75"/>
  <c r="AL88" i="47"/>
  <c r="A13" i="75"/>
  <c r="AL36" i="47"/>
  <c r="C28" i="75" s="1"/>
  <c r="B35" i="48" s="1"/>
  <c r="AL129" i="47"/>
  <c r="A104" i="75"/>
  <c r="L90" i="75"/>
  <c r="A54" i="75"/>
  <c r="AL101" i="47"/>
  <c r="L51" i="75"/>
  <c r="L104" i="75"/>
  <c r="AL15" i="47"/>
  <c r="C7" i="75" s="1"/>
  <c r="B15" i="48" s="1"/>
  <c r="AL61" i="47"/>
  <c r="C53" i="75" s="1"/>
  <c r="B52" i="48" s="1"/>
  <c r="A94" i="75"/>
  <c r="A81" i="75"/>
  <c r="A7" i="75"/>
  <c r="L35" i="75"/>
  <c r="A59" i="75"/>
  <c r="A95" i="75"/>
  <c r="AL130" i="47"/>
  <c r="A105" i="75"/>
  <c r="AL58" i="47"/>
  <c r="A60" i="75"/>
  <c r="L123" i="75"/>
  <c r="A30" i="75"/>
  <c r="AL74" i="47"/>
  <c r="C112" i="75" s="1"/>
  <c r="B112" i="48" s="1"/>
  <c r="L120" i="75"/>
  <c r="A66" i="75"/>
  <c r="L79" i="75"/>
  <c r="L30" i="75"/>
  <c r="C47" i="75" l="1"/>
  <c r="B29" i="48" s="1"/>
  <c r="C123" i="75"/>
  <c r="B123" i="48" s="1"/>
  <c r="C73" i="75"/>
  <c r="B80" i="48" s="1"/>
  <c r="C115" i="75"/>
  <c r="B115" i="48" s="1"/>
  <c r="C101" i="75"/>
  <c r="B101" i="48" s="1"/>
  <c r="C72" i="75"/>
  <c r="B81" i="48" s="1"/>
  <c r="C67" i="75"/>
  <c r="B84" i="48" s="1"/>
  <c r="C49" i="75"/>
  <c r="B36" i="48" s="1"/>
  <c r="C98" i="75"/>
  <c r="B98" i="48" s="1"/>
  <c r="C75" i="75"/>
  <c r="B78" i="48" s="1"/>
  <c r="C125" i="75"/>
  <c r="B125" i="48" s="1"/>
  <c r="C82" i="75"/>
  <c r="B71" i="48" s="1"/>
  <c r="C77" i="75"/>
  <c r="B76" i="48" s="1"/>
  <c r="C110" i="75"/>
  <c r="B110" i="48" s="1"/>
  <c r="C127" i="75"/>
  <c r="B127" i="48" s="1"/>
  <c r="C83" i="75"/>
  <c r="B70" i="48" s="1"/>
  <c r="C92" i="75"/>
  <c r="B92" i="48" s="1"/>
  <c r="C48" i="75"/>
  <c r="B32" i="48" s="1"/>
  <c r="C117" i="75"/>
  <c r="B117" i="48" s="1"/>
  <c r="C68" i="75"/>
  <c r="B86" i="48" s="1"/>
  <c r="C90" i="75"/>
  <c r="B90" i="48" s="1"/>
  <c r="C76" i="75"/>
  <c r="B77" i="48" s="1"/>
  <c r="C52" i="75"/>
  <c r="B48" i="48" s="1"/>
  <c r="C97" i="75"/>
  <c r="B97" i="48" s="1"/>
  <c r="C81" i="75"/>
  <c r="B72" i="48" s="1"/>
  <c r="C69" i="75"/>
  <c r="B87" i="48" s="1"/>
  <c r="C88" i="75"/>
  <c r="B88" i="48" s="1"/>
  <c r="C89" i="75"/>
  <c r="B89" i="48" s="1"/>
  <c r="C86" i="75"/>
  <c r="B67" i="48" s="1"/>
  <c r="C104" i="75"/>
  <c r="B104" i="48" s="1"/>
  <c r="C114" i="75"/>
  <c r="B114" i="48" s="1"/>
  <c r="C111" i="75"/>
  <c r="B111" i="48" s="1"/>
  <c r="C44" i="75"/>
  <c r="B20" i="48" s="1"/>
  <c r="C66" i="75"/>
  <c r="B82" i="48" s="1"/>
  <c r="C105" i="75"/>
  <c r="B105" i="48" s="1"/>
  <c r="C99" i="75"/>
  <c r="B99" i="48" s="1"/>
  <c r="C121" i="75"/>
  <c r="B121" i="48" s="1"/>
  <c r="C96" i="75"/>
  <c r="B96" i="48" s="1"/>
  <c r="C107" i="75"/>
  <c r="B107" i="48" s="1"/>
  <c r="C129" i="75"/>
  <c r="B129" i="48" s="1"/>
  <c r="C93" i="75"/>
  <c r="B93" i="48" s="1"/>
  <c r="C128" i="75"/>
  <c r="B128" i="48" s="1"/>
  <c r="C84" i="75"/>
  <c r="B69" i="48" s="1"/>
  <c r="C94" i="75"/>
  <c r="B94" i="48" s="1"/>
  <c r="C46" i="75"/>
  <c r="B26" i="48" s="1"/>
  <c r="C122" i="75"/>
  <c r="B122" i="48" s="1"/>
  <c r="C116" i="75"/>
  <c r="B116" i="48" s="1"/>
  <c r="C71" i="75"/>
  <c r="B83" i="48" s="1"/>
  <c r="C109" i="75"/>
  <c r="B109" i="48" s="1"/>
  <c r="C78" i="75"/>
  <c r="B75" i="48" s="1"/>
  <c r="C87" i="75"/>
  <c r="B66" i="48" s="1"/>
  <c r="C70" i="75"/>
  <c r="B85" i="48" s="1"/>
  <c r="C113" i="75"/>
  <c r="B113" i="48" s="1"/>
  <c r="C50" i="75"/>
  <c r="B40" i="48" s="1"/>
  <c r="C79" i="75"/>
  <c r="B74" i="48" s="1"/>
  <c r="C43" i="75"/>
  <c r="B17" i="48" s="1"/>
  <c r="C100" i="75"/>
  <c r="B100" i="48" s="1"/>
  <c r="C120" i="75"/>
  <c r="B120" i="48" s="1"/>
  <c r="C85" i="75"/>
  <c r="B68" i="48" s="1"/>
  <c r="C80" i="75"/>
  <c r="B73" i="48" s="1"/>
  <c r="C91" i="75"/>
  <c r="B91" i="48" s="1"/>
  <c r="C126" i="75"/>
  <c r="B126" i="48" s="1"/>
  <c r="C45" i="75"/>
  <c r="B23" i="48" s="1"/>
  <c r="C95" i="75"/>
  <c r="B95" i="48" s="1"/>
  <c r="C102" i="75"/>
  <c r="B102" i="48" s="1"/>
  <c r="D78" i="75"/>
  <c r="E78" i="75"/>
  <c r="B78" i="75"/>
  <c r="A75" i="48" s="1"/>
  <c r="C75" i="48" s="1"/>
  <c r="B89" i="75"/>
  <c r="A89" i="48" s="1"/>
  <c r="C89" i="48" s="1"/>
  <c r="D89" i="75"/>
  <c r="E89" i="75"/>
  <c r="D87" i="75"/>
  <c r="B87" i="75"/>
  <c r="A66" i="48" s="1"/>
  <c r="C66" i="48" s="1"/>
  <c r="E87" i="75"/>
  <c r="E122" i="75"/>
  <c r="D122" i="75"/>
  <c r="B122" i="75"/>
  <c r="A122" i="48" s="1"/>
  <c r="C122" i="48" s="1"/>
  <c r="B110" i="75"/>
  <c r="A110" i="48" s="1"/>
  <c r="C110" i="48" s="1"/>
  <c r="D110" i="75"/>
  <c r="E110" i="75"/>
  <c r="J148" i="112"/>
  <c r="F115" i="112"/>
  <c r="J138" i="112"/>
  <c r="F241" i="112"/>
  <c r="J16" i="112"/>
  <c r="J114" i="112"/>
  <c r="J257" i="112"/>
  <c r="J130" i="112"/>
  <c r="F71" i="112"/>
  <c r="F228" i="112"/>
  <c r="F193" i="112"/>
  <c r="J9" i="112"/>
  <c r="J22" i="112"/>
  <c r="J104" i="112"/>
  <c r="F258" i="112"/>
  <c r="J100" i="112"/>
  <c r="J132" i="112"/>
  <c r="F102" i="112"/>
  <c r="F256" i="112"/>
  <c r="J156" i="112"/>
  <c r="J96" i="112"/>
  <c r="J107" i="112"/>
  <c r="J128" i="112"/>
  <c r="J229" i="112"/>
  <c r="F73" i="112"/>
  <c r="J145" i="112"/>
  <c r="F259" i="112"/>
  <c r="J163" i="112"/>
  <c r="J99" i="112"/>
  <c r="J106" i="112"/>
  <c r="F130" i="112"/>
  <c r="F140" i="112"/>
  <c r="F122" i="112"/>
  <c r="J15" i="112"/>
  <c r="F251" i="112"/>
  <c r="J12" i="112"/>
  <c r="F107" i="112"/>
  <c r="J29" i="112"/>
  <c r="J50" i="112"/>
  <c r="F141" i="112"/>
  <c r="F137" i="112"/>
  <c r="F230" i="112"/>
  <c r="F248" i="112"/>
  <c r="F99" i="112"/>
  <c r="J40" i="112"/>
  <c r="J102" i="112"/>
  <c r="F124" i="112"/>
  <c r="F104" i="112"/>
  <c r="F247" i="112"/>
  <c r="J241" i="112"/>
  <c r="J91" i="112"/>
  <c r="J158" i="112"/>
  <c r="J231" i="112"/>
  <c r="F146" i="112"/>
  <c r="F250" i="112"/>
  <c r="J234" i="112"/>
  <c r="J90" i="112"/>
  <c r="F157" i="112"/>
  <c r="J103" i="112"/>
  <c r="J155" i="112"/>
  <c r="F105" i="112"/>
  <c r="J153" i="112"/>
  <c r="J236" i="112"/>
  <c r="J98" i="112"/>
  <c r="J176" i="112"/>
  <c r="J232" i="112"/>
  <c r="J19" i="112"/>
  <c r="F170" i="112"/>
  <c r="J243" i="112"/>
  <c r="J88" i="112"/>
  <c r="F128" i="112"/>
  <c r="F199" i="112"/>
  <c r="J45" i="112"/>
  <c r="J244" i="112"/>
  <c r="F171" i="112"/>
  <c r="J226" i="112"/>
  <c r="J222" i="112"/>
  <c r="J190" i="112"/>
  <c r="J62" i="112"/>
  <c r="J141" i="112"/>
  <c r="F232" i="112"/>
  <c r="J142" i="112"/>
  <c r="J93" i="112"/>
  <c r="F189" i="112"/>
  <c r="J126" i="112"/>
  <c r="J49" i="112"/>
  <c r="F75" i="112"/>
  <c r="F164" i="112"/>
  <c r="F201" i="112"/>
  <c r="F165" i="112"/>
  <c r="J85" i="112"/>
  <c r="F238" i="112"/>
  <c r="F196" i="112"/>
  <c r="J41" i="112"/>
  <c r="J84" i="112"/>
  <c r="F217" i="112"/>
  <c r="J166" i="112"/>
  <c r="J68" i="112"/>
  <c r="J212" i="112"/>
  <c r="J194" i="112"/>
  <c r="J224" i="112"/>
  <c r="J189" i="112"/>
  <c r="F209" i="112"/>
  <c r="J36" i="112"/>
  <c r="J197" i="112"/>
  <c r="F231" i="112"/>
  <c r="J95" i="112"/>
  <c r="F188" i="112"/>
  <c r="F222" i="112"/>
  <c r="F180" i="112"/>
  <c r="J94" i="112"/>
  <c r="F181" i="112"/>
  <c r="J159" i="112"/>
  <c r="J69" i="112"/>
  <c r="J248" i="112"/>
  <c r="F96" i="112"/>
  <c r="F158" i="112"/>
  <c r="F138" i="112"/>
  <c r="J32" i="112"/>
  <c r="J198" i="112"/>
  <c r="F126" i="112"/>
  <c r="J213" i="112"/>
  <c r="J13" i="112"/>
  <c r="J237" i="112"/>
  <c r="F139" i="112"/>
  <c r="J238" i="112"/>
  <c r="J113" i="112"/>
  <c r="J60" i="112"/>
  <c r="J119" i="112"/>
  <c r="J196" i="112"/>
  <c r="J223" i="112"/>
  <c r="J193" i="112"/>
  <c r="J55" i="112"/>
  <c r="J242" i="112"/>
  <c r="J124" i="112"/>
  <c r="F121" i="112"/>
  <c r="F195" i="112"/>
  <c r="F101" i="112"/>
  <c r="F83" i="112"/>
  <c r="J67" i="112"/>
  <c r="J71" i="112"/>
  <c r="F192" i="112"/>
  <c r="J187" i="112"/>
  <c r="F204" i="112"/>
  <c r="J188" i="112"/>
  <c r="J64" i="112"/>
  <c r="J200" i="112"/>
  <c r="J182" i="112"/>
  <c r="J76" i="112"/>
  <c r="F88" i="112"/>
  <c r="F78" i="112"/>
  <c r="F86" i="112"/>
  <c r="J108" i="112"/>
  <c r="J5" i="112"/>
  <c r="J52" i="112"/>
  <c r="J27" i="112"/>
  <c r="J205" i="112"/>
  <c r="J183" i="112"/>
  <c r="J184" i="112"/>
  <c r="J109" i="112"/>
  <c r="F131" i="112"/>
  <c r="J181" i="112"/>
  <c r="F186" i="112"/>
  <c r="F221" i="112"/>
  <c r="J61" i="112"/>
  <c r="F95" i="112"/>
  <c r="J58" i="112"/>
  <c r="J11" i="112"/>
  <c r="J65" i="112"/>
  <c r="J174" i="112"/>
  <c r="F187" i="112"/>
  <c r="J235" i="112"/>
  <c r="F206" i="112"/>
  <c r="J233" i="112"/>
  <c r="J129" i="112"/>
  <c r="F129" i="112"/>
  <c r="F168" i="112"/>
  <c r="J78" i="112"/>
  <c r="F223" i="112"/>
  <c r="F80" i="112"/>
  <c r="F97" i="112"/>
  <c r="F98" i="112"/>
  <c r="J120" i="112"/>
  <c r="J207" i="112"/>
  <c r="F166" i="112"/>
  <c r="F167" i="112"/>
  <c r="F91" i="112"/>
  <c r="J249" i="112"/>
  <c r="J127" i="112"/>
  <c r="J47" i="112"/>
  <c r="F182" i="112"/>
  <c r="F177" i="112"/>
  <c r="J57" i="112"/>
  <c r="F185" i="112"/>
  <c r="J54" i="112"/>
  <c r="J239" i="112"/>
  <c r="J225" i="112"/>
  <c r="J111" i="112"/>
  <c r="J258" i="112"/>
  <c r="F239" i="112"/>
  <c r="J77" i="112"/>
  <c r="J82" i="112"/>
  <c r="J252" i="112"/>
  <c r="J240" i="112"/>
  <c r="F149" i="112"/>
  <c r="F154" i="112"/>
  <c r="J228" i="112"/>
  <c r="F236" i="112"/>
  <c r="J206" i="112"/>
  <c r="J72" i="112"/>
  <c r="F173" i="112"/>
  <c r="J220" i="112"/>
  <c r="F155" i="112"/>
  <c r="F205" i="112"/>
  <c r="J172" i="112"/>
  <c r="J116" i="112"/>
  <c r="J75" i="112"/>
  <c r="J123" i="112"/>
  <c r="J28" i="112"/>
  <c r="F233" i="112"/>
  <c r="J110" i="112"/>
  <c r="J219" i="112"/>
  <c r="J179" i="112"/>
  <c r="J245" i="112"/>
  <c r="J74" i="112"/>
  <c r="F125" i="112"/>
  <c r="F92" i="112"/>
  <c r="J216" i="112"/>
  <c r="F100" i="112"/>
  <c r="F145" i="112"/>
  <c r="F216" i="112"/>
  <c r="J79" i="112"/>
  <c r="J18" i="112"/>
  <c r="F90" i="112"/>
  <c r="F242" i="112"/>
  <c r="F150" i="112"/>
  <c r="J215" i="112"/>
  <c r="F227" i="112"/>
  <c r="J208" i="112"/>
  <c r="J186" i="112"/>
  <c r="F257" i="112"/>
  <c r="F176" i="112"/>
  <c r="F151" i="112"/>
  <c r="F148" i="112"/>
  <c r="J8" i="112"/>
  <c r="J118" i="112"/>
  <c r="J24" i="112"/>
  <c r="F103" i="112"/>
  <c r="F93" i="112"/>
  <c r="F179" i="112"/>
  <c r="J247" i="112"/>
  <c r="J178" i="112"/>
  <c r="J180" i="112"/>
  <c r="F118" i="112"/>
  <c r="J170" i="112"/>
  <c r="F175" i="112"/>
  <c r="J48" i="112"/>
  <c r="J63" i="112"/>
  <c r="J246" i="112"/>
  <c r="J162" i="112"/>
  <c r="F79" i="112"/>
  <c r="F243" i="112"/>
  <c r="F244" i="112"/>
  <c r="F214" i="112"/>
  <c r="F127" i="112"/>
  <c r="J210" i="112"/>
  <c r="F114" i="112"/>
  <c r="F120" i="112"/>
  <c r="F240" i="112"/>
  <c r="J217" i="112"/>
  <c r="J140" i="112"/>
  <c r="J44" i="112"/>
  <c r="J117" i="112"/>
  <c r="F117" i="112"/>
  <c r="F81" i="112"/>
  <c r="J177" i="112"/>
  <c r="F246" i="112"/>
  <c r="J147" i="112"/>
  <c r="J173" i="112"/>
  <c r="J125" i="112"/>
  <c r="F119" i="112"/>
  <c r="F132" i="112"/>
  <c r="F161" i="112"/>
  <c r="J66" i="112"/>
  <c r="J165" i="112"/>
  <c r="J171" i="112"/>
  <c r="J169" i="112"/>
  <c r="J43" i="112"/>
  <c r="J81" i="112"/>
  <c r="F112" i="112"/>
  <c r="F113" i="112"/>
  <c r="J35" i="112"/>
  <c r="F136" i="112"/>
  <c r="F134" i="112"/>
  <c r="F135" i="112"/>
  <c r="J192" i="112"/>
  <c r="J89" i="112"/>
  <c r="F219" i="112"/>
  <c r="F226" i="112"/>
  <c r="F191" i="112"/>
  <c r="J218" i="112"/>
  <c r="J139" i="112"/>
  <c r="J137" i="112"/>
  <c r="J20" i="112"/>
  <c r="F218" i="112"/>
  <c r="J149" i="112"/>
  <c r="F169" i="112"/>
  <c r="F202" i="112"/>
  <c r="F225" i="112"/>
  <c r="J21" i="112"/>
  <c r="J230" i="112"/>
  <c r="J136" i="112"/>
  <c r="F77" i="112"/>
  <c r="J255" i="112"/>
  <c r="F203" i="112"/>
  <c r="F254" i="112"/>
  <c r="J209" i="112"/>
  <c r="J160" i="112"/>
  <c r="J6" i="112"/>
  <c r="F76" i="112"/>
  <c r="F178" i="112"/>
  <c r="J152" i="112"/>
  <c r="F229" i="112"/>
  <c r="J202" i="112"/>
  <c r="J53" i="112"/>
  <c r="F159" i="112"/>
  <c r="J135" i="112"/>
  <c r="J42" i="112"/>
  <c r="J254" i="112"/>
  <c r="F253" i="112"/>
  <c r="F116" i="112"/>
  <c r="J259" i="112"/>
  <c r="J227" i="112"/>
  <c r="F207" i="112"/>
  <c r="F106" i="112"/>
  <c r="F245" i="112"/>
  <c r="J253" i="112"/>
  <c r="F252" i="112"/>
  <c r="J87" i="112"/>
  <c r="J4" i="112"/>
  <c r="J214" i="112"/>
  <c r="F152" i="112"/>
  <c r="J86" i="112"/>
  <c r="J131" i="112"/>
  <c r="J256" i="112"/>
  <c r="F255" i="112"/>
  <c r="J101" i="112"/>
  <c r="J105" i="112"/>
  <c r="J73" i="112"/>
  <c r="F94" i="112"/>
  <c r="F147" i="112"/>
  <c r="J33" i="112"/>
  <c r="F213" i="112"/>
  <c r="F142" i="112"/>
  <c r="F144" i="112"/>
  <c r="F143" i="112"/>
  <c r="J191" i="112"/>
  <c r="F212" i="112"/>
  <c r="J80" i="112"/>
  <c r="J133" i="112"/>
  <c r="J221" i="112"/>
  <c r="J134" i="112"/>
  <c r="F190" i="112"/>
  <c r="F215" i="112"/>
  <c r="J83" i="112"/>
  <c r="F224" i="112"/>
  <c r="F84" i="112"/>
  <c r="F210" i="112"/>
  <c r="J204" i="112"/>
  <c r="J250" i="112"/>
  <c r="F74" i="112"/>
  <c r="F198" i="112"/>
  <c r="J211" i="112"/>
  <c r="F249" i="112"/>
  <c r="J70" i="112"/>
  <c r="F72" i="112"/>
  <c r="J51" i="112"/>
  <c r="J121" i="112"/>
  <c r="J199" i="112"/>
  <c r="F200" i="112"/>
  <c r="J59" i="112"/>
  <c r="F123" i="112"/>
  <c r="F220" i="112"/>
  <c r="J92" i="112"/>
  <c r="J157" i="112"/>
  <c r="J31" i="112"/>
  <c r="F183" i="112"/>
  <c r="J203" i="112"/>
  <c r="F163" i="112"/>
  <c r="J201" i="112"/>
  <c r="J10" i="112"/>
  <c r="F111" i="112"/>
  <c r="J97" i="112"/>
  <c r="J34" i="112"/>
  <c r="F184" i="112"/>
  <c r="F160" i="112"/>
  <c r="F194" i="112"/>
  <c r="F89" i="112"/>
  <c r="J122" i="112"/>
  <c r="F237" i="112"/>
  <c r="J112" i="112"/>
  <c r="J37" i="112"/>
  <c r="F156" i="112"/>
  <c r="J30" i="112"/>
  <c r="F87" i="112"/>
  <c r="J251" i="112"/>
  <c r="F110" i="112"/>
  <c r="J115" i="112"/>
  <c r="J164" i="112"/>
  <c r="J154" i="112"/>
  <c r="J146" i="112"/>
  <c r="F211" i="112"/>
  <c r="J25" i="112"/>
  <c r="J168" i="112"/>
  <c r="F82" i="112"/>
  <c r="F208" i="112"/>
  <c r="J38" i="112"/>
  <c r="F85" i="112"/>
  <c r="J161" i="112"/>
  <c r="J39" i="112"/>
  <c r="J167" i="112"/>
  <c r="J151" i="112"/>
  <c r="J150" i="112"/>
  <c r="J23" i="112"/>
  <c r="J7" i="112"/>
  <c r="F133" i="112"/>
  <c r="F153" i="112"/>
  <c r="F234" i="112"/>
  <c r="F172" i="112"/>
  <c r="J26" i="112"/>
  <c r="J195" i="112"/>
  <c r="J144" i="112"/>
  <c r="F109" i="112"/>
  <c r="F235" i="112"/>
  <c r="F197" i="112"/>
  <c r="J46" i="112"/>
  <c r="J56" i="112"/>
  <c r="J14" i="112"/>
  <c r="F108" i="112"/>
  <c r="F162" i="112"/>
  <c r="F174" i="112"/>
  <c r="J17" i="112"/>
  <c r="J175" i="112"/>
  <c r="J185" i="112"/>
  <c r="J143" i="112"/>
  <c r="D84" i="75"/>
  <c r="E84" i="75"/>
  <c r="B84" i="75"/>
  <c r="A69" i="48" s="1"/>
  <c r="C69" i="48" s="1"/>
  <c r="AH98" i="47"/>
  <c r="AH92" i="47"/>
  <c r="AH130" i="47"/>
  <c r="AH144" i="47"/>
  <c r="AH145" i="47"/>
  <c r="AH84" i="47"/>
  <c r="AH106" i="47"/>
  <c r="AH127" i="47"/>
  <c r="AH75" i="47"/>
  <c r="AH120" i="47"/>
  <c r="AH108" i="47"/>
  <c r="AH86" i="47"/>
  <c r="AH122" i="47"/>
  <c r="AH141" i="47"/>
  <c r="AH112" i="47"/>
  <c r="AH134" i="47"/>
  <c r="AH116" i="47"/>
  <c r="AH89" i="47"/>
  <c r="AH113" i="47"/>
  <c r="AH90" i="47"/>
  <c r="AH110" i="47"/>
  <c r="AH82" i="47"/>
  <c r="AH121" i="47"/>
  <c r="AH96" i="47"/>
  <c r="AH114" i="47"/>
  <c r="AH124" i="47"/>
  <c r="AH135" i="47"/>
  <c r="AH146" i="47"/>
  <c r="AH143" i="47"/>
  <c r="AH79" i="47"/>
  <c r="AH132" i="47"/>
  <c r="AH76" i="47"/>
  <c r="AH101" i="47"/>
  <c r="AH104" i="47"/>
  <c r="AH142" i="47"/>
  <c r="AH118" i="47"/>
  <c r="AH138" i="47"/>
  <c r="AH128" i="47"/>
  <c r="AH119" i="47"/>
  <c r="AH78" i="47"/>
  <c r="AH126" i="47"/>
  <c r="AH131" i="47"/>
  <c r="AH81" i="47"/>
  <c r="AH147" i="47"/>
  <c r="AH123" i="47"/>
  <c r="AH137" i="47"/>
  <c r="AH129" i="47"/>
  <c r="AH83" i="47"/>
  <c r="AH80" i="47"/>
  <c r="AH115" i="47"/>
  <c r="AH87" i="47"/>
  <c r="AH105" i="47"/>
  <c r="AH148" i="47"/>
  <c r="AH93" i="47"/>
  <c r="AH103" i="47"/>
  <c r="AH99" i="47"/>
  <c r="AH111" i="47"/>
  <c r="AH117" i="47"/>
  <c r="AH91" i="47"/>
  <c r="AH139" i="47"/>
  <c r="AH107" i="47"/>
  <c r="AH97" i="47"/>
  <c r="AH94" i="47"/>
  <c r="AH95" i="47"/>
  <c r="AH74" i="47"/>
  <c r="AH140" i="47"/>
  <c r="AH109" i="47"/>
  <c r="AH85" i="47"/>
  <c r="AH133" i="47"/>
  <c r="AH102" i="47"/>
  <c r="D125" i="75"/>
  <c r="B125" i="75"/>
  <c r="A125" i="48" s="1"/>
  <c r="C125" i="48" s="1"/>
  <c r="E125" i="75"/>
  <c r="E112" i="75"/>
  <c r="B112" i="75"/>
  <c r="A112" i="48" s="1"/>
  <c r="C112" i="48" s="1"/>
  <c r="D112" i="75"/>
  <c r="E88" i="75"/>
  <c r="D88" i="75"/>
  <c r="B88" i="75"/>
  <c r="A88" i="48" s="1"/>
  <c r="C88" i="48" s="1"/>
  <c r="D73" i="75"/>
  <c r="B73" i="75"/>
  <c r="A80" i="48" s="1"/>
  <c r="C80" i="48" s="1"/>
  <c r="E73" i="75"/>
  <c r="B72" i="75"/>
  <c r="A81" i="48" s="1"/>
  <c r="C81" i="48" s="1"/>
  <c r="D72" i="75"/>
  <c r="E72" i="75"/>
  <c r="E121" i="75"/>
  <c r="D121" i="75"/>
  <c r="B121" i="75"/>
  <c r="A121" i="48" s="1"/>
  <c r="C121" i="48" s="1"/>
  <c r="E80" i="75"/>
  <c r="D80" i="75"/>
  <c r="B80" i="75"/>
  <c r="A73" i="48" s="1"/>
  <c r="C73" i="48" s="1"/>
  <c r="D118" i="75"/>
  <c r="E118" i="75"/>
  <c r="B118" i="75"/>
  <c r="A118" i="48" s="1"/>
  <c r="C118" i="48" s="1"/>
  <c r="D105" i="75"/>
  <c r="E105" i="75"/>
  <c r="B105" i="75"/>
  <c r="A105" i="48" s="1"/>
  <c r="C105" i="48" s="1"/>
  <c r="D100" i="75"/>
  <c r="E100" i="75"/>
  <c r="B100" i="75"/>
  <c r="A100" i="48" s="1"/>
  <c r="C100" i="48" s="1"/>
  <c r="B77" i="75"/>
  <c r="A76" i="48" s="1"/>
  <c r="C76" i="48" s="1"/>
  <c r="D77" i="75"/>
  <c r="E77" i="75"/>
  <c r="E97" i="75"/>
  <c r="B97" i="75"/>
  <c r="A97" i="48" s="1"/>
  <c r="C97" i="48" s="1"/>
  <c r="D97" i="75"/>
  <c r="E123" i="75"/>
  <c r="B123" i="75"/>
  <c r="A123" i="48" s="1"/>
  <c r="C123" i="48" s="1"/>
  <c r="D123" i="75"/>
  <c r="B113" i="75"/>
  <c r="A113" i="48" s="1"/>
  <c r="C113" i="48" s="1"/>
  <c r="D113" i="75"/>
  <c r="E113" i="75"/>
  <c r="S3" i="47"/>
  <c r="L3" i="112"/>
  <c r="S2" i="47"/>
  <c r="L2" i="112"/>
  <c r="F13" i="112" s="1"/>
  <c r="B92" i="75"/>
  <c r="A92" i="48" s="1"/>
  <c r="C92" i="48" s="1"/>
  <c r="D92" i="75"/>
  <c r="E92" i="75"/>
  <c r="B83" i="75"/>
  <c r="A70" i="48" s="1"/>
  <c r="C70" i="48" s="1"/>
  <c r="D83" i="75"/>
  <c r="E83" i="75"/>
  <c r="AF2" i="75"/>
  <c r="AG2" i="75" s="1"/>
  <c r="Q2" i="75"/>
  <c r="R2" i="75" s="1"/>
  <c r="S2" i="75" s="1"/>
  <c r="AC2" i="75"/>
  <c r="W2" i="75"/>
  <c r="Z2" i="75"/>
  <c r="T2" i="75"/>
  <c r="B116" i="75"/>
  <c r="A116" i="48" s="1"/>
  <c r="C116" i="48" s="1"/>
  <c r="E116" i="75"/>
  <c r="D116" i="75"/>
  <c r="B76" i="75"/>
  <c r="A77" i="48" s="1"/>
  <c r="C77" i="48" s="1"/>
  <c r="D76" i="75"/>
  <c r="E76" i="75"/>
  <c r="B94" i="75"/>
  <c r="A94" i="48" s="1"/>
  <c r="C94" i="48" s="1"/>
  <c r="D94" i="75"/>
  <c r="E94" i="75"/>
  <c r="D104" i="75"/>
  <c r="E104" i="75"/>
  <c r="B104" i="75"/>
  <c r="A104" i="48" s="1"/>
  <c r="C104" i="48" s="1"/>
  <c r="D5" i="111"/>
  <c r="D6" i="111"/>
  <c r="D8" i="111"/>
  <c r="D4" i="111"/>
  <c r="D7" i="111"/>
  <c r="B101" i="75"/>
  <c r="A101" i="48" s="1"/>
  <c r="C101" i="48" s="1"/>
  <c r="D101" i="75"/>
  <c r="E101" i="75"/>
  <c r="E71" i="75"/>
  <c r="B71" i="75"/>
  <c r="A83" i="48" s="1"/>
  <c r="C83" i="48" s="1"/>
  <c r="D71" i="75"/>
  <c r="D111" i="75"/>
  <c r="E111" i="75"/>
  <c r="B111" i="75"/>
  <c r="A111" i="48" s="1"/>
  <c r="C111" i="48" s="1"/>
  <c r="B82" i="75"/>
  <c r="A71" i="48" s="1"/>
  <c r="C71" i="48" s="1"/>
  <c r="E82" i="75"/>
  <c r="D82" i="75"/>
  <c r="E102" i="75"/>
  <c r="B102" i="75"/>
  <c r="A102" i="48" s="1"/>
  <c r="C102" i="48" s="1"/>
  <c r="D102" i="75"/>
  <c r="B126" i="75"/>
  <c r="A126" i="48" s="1"/>
  <c r="C126" i="48" s="1"/>
  <c r="D126" i="75"/>
  <c r="E126" i="75"/>
  <c r="D119" i="75"/>
  <c r="E119" i="75"/>
  <c r="B119" i="75"/>
  <c r="A119" i="48" s="1"/>
  <c r="C119" i="48" s="1"/>
  <c r="E108" i="75"/>
  <c r="B108" i="75"/>
  <c r="A108" i="48" s="1"/>
  <c r="C108" i="48" s="1"/>
  <c r="D108" i="75"/>
  <c r="D107" i="75"/>
  <c r="B107" i="75"/>
  <c r="A107" i="48" s="1"/>
  <c r="C107" i="48" s="1"/>
  <c r="E107" i="75"/>
  <c r="E96" i="75"/>
  <c r="B96" i="75"/>
  <c r="A96" i="48" s="1"/>
  <c r="C96" i="48" s="1"/>
  <c r="D96" i="75"/>
  <c r="B129" i="75"/>
  <c r="A129" i="48" s="1"/>
  <c r="C129" i="48" s="1"/>
  <c r="D129" i="75"/>
  <c r="E129" i="75"/>
  <c r="D74" i="75"/>
  <c r="E74" i="75"/>
  <c r="B74" i="75"/>
  <c r="A79" i="48" s="1"/>
  <c r="C79" i="48" s="1"/>
  <c r="E95" i="75"/>
  <c r="B95" i="75"/>
  <c r="A95" i="48" s="1"/>
  <c r="C95" i="48" s="1"/>
  <c r="D95" i="75"/>
  <c r="E81" i="75"/>
  <c r="B81" i="75"/>
  <c r="A72" i="48" s="1"/>
  <c r="C72" i="48" s="1"/>
  <c r="D81" i="75"/>
  <c r="E90" i="75"/>
  <c r="B90" i="75"/>
  <c r="A90" i="48" s="1"/>
  <c r="C90" i="48" s="1"/>
  <c r="D90" i="75"/>
  <c r="D103" i="75"/>
  <c r="E103" i="75"/>
  <c r="B103" i="75"/>
  <c r="A103" i="48" s="1"/>
  <c r="C103" i="48" s="1"/>
  <c r="D117" i="75"/>
  <c r="E117" i="75"/>
  <c r="B117" i="75"/>
  <c r="A117" i="48" s="1"/>
  <c r="C117" i="48" s="1"/>
  <c r="B99" i="75"/>
  <c r="A99" i="48" s="1"/>
  <c r="C99" i="48" s="1"/>
  <c r="D99" i="75"/>
  <c r="E99" i="75"/>
  <c r="B86" i="75"/>
  <c r="A67" i="48" s="1"/>
  <c r="C67" i="48" s="1"/>
  <c r="E86" i="75"/>
  <c r="D86" i="75"/>
  <c r="E98" i="75"/>
  <c r="D98" i="75"/>
  <c r="B98" i="75"/>
  <c r="A98" i="48" s="1"/>
  <c r="C98" i="48" s="1"/>
  <c r="E128" i="75"/>
  <c r="D128" i="75"/>
  <c r="B128" i="75"/>
  <c r="A128" i="48" s="1"/>
  <c r="C128" i="48" s="1"/>
  <c r="D114" i="75"/>
  <c r="E114" i="75"/>
  <c r="B114" i="75"/>
  <c r="A114" i="48" s="1"/>
  <c r="C114" i="48" s="1"/>
  <c r="E75" i="75"/>
  <c r="B75" i="75"/>
  <c r="A78" i="48" s="1"/>
  <c r="C78" i="48" s="1"/>
  <c r="D75" i="75"/>
  <c r="B91" i="75"/>
  <c r="A91" i="48" s="1"/>
  <c r="C91" i="48" s="1"/>
  <c r="E91" i="75"/>
  <c r="D91" i="75"/>
  <c r="D124" i="75"/>
  <c r="E124" i="75"/>
  <c r="B124" i="75"/>
  <c r="A124" i="48" s="1"/>
  <c r="C124" i="48" s="1"/>
  <c r="B115" i="75"/>
  <c r="A115" i="48" s="1"/>
  <c r="C115" i="48" s="1"/>
  <c r="D115" i="75"/>
  <c r="E115" i="75"/>
  <c r="D120" i="75"/>
  <c r="E120" i="75"/>
  <c r="B120" i="75"/>
  <c r="A120" i="48" s="1"/>
  <c r="C120" i="48" s="1"/>
  <c r="E106" i="75"/>
  <c r="B106" i="75"/>
  <c r="A106" i="48" s="1"/>
  <c r="C106" i="48" s="1"/>
  <c r="D106" i="75"/>
  <c r="D85" i="75"/>
  <c r="E85" i="75"/>
  <c r="B85" i="75"/>
  <c r="A68" i="48" s="1"/>
  <c r="C68" i="48" s="1"/>
  <c r="B127" i="75"/>
  <c r="A127" i="48" s="1"/>
  <c r="C127" i="48" s="1"/>
  <c r="D127" i="75"/>
  <c r="E127" i="75"/>
  <c r="E79" i="75"/>
  <c r="B79" i="75"/>
  <c r="A74" i="48" s="1"/>
  <c r="C74" i="48" s="1"/>
  <c r="D79" i="75"/>
  <c r="D109" i="75"/>
  <c r="E109" i="75"/>
  <c r="B109" i="75"/>
  <c r="A109" i="48" s="1"/>
  <c r="C109" i="48" s="1"/>
  <c r="B130" i="75"/>
  <c r="A130" i="48" s="1"/>
  <c r="C130" i="48" s="1"/>
  <c r="D130" i="75"/>
  <c r="E130" i="75"/>
  <c r="B93" i="75"/>
  <c r="A93" i="48" s="1"/>
  <c r="C93" i="48" s="1"/>
  <c r="D93" i="75"/>
  <c r="E93" i="75"/>
  <c r="F48" i="112" l="1"/>
  <c r="F38" i="112"/>
  <c r="F32" i="112"/>
  <c r="F56" i="112"/>
  <c r="F68" i="112"/>
  <c r="F21" i="112"/>
  <c r="F58" i="112"/>
  <c r="F18" i="112"/>
  <c r="F28" i="112"/>
  <c r="F33" i="112"/>
  <c r="F15" i="112"/>
  <c r="F10" i="112"/>
  <c r="F11" i="112"/>
  <c r="F59" i="112"/>
  <c r="F12" i="112"/>
  <c r="F54" i="112"/>
  <c r="F30" i="112"/>
  <c r="F70" i="112"/>
  <c r="F64" i="112"/>
  <c r="F23" i="112"/>
  <c r="AH2" i="75"/>
  <c r="F6" i="112"/>
  <c r="F52" i="112"/>
  <c r="F39" i="112"/>
  <c r="F41" i="112"/>
  <c r="F42" i="112"/>
  <c r="F51" i="112"/>
  <c r="F4" i="112"/>
  <c r="F9" i="112"/>
  <c r="F25" i="112"/>
  <c r="F29" i="112"/>
  <c r="F20" i="112"/>
  <c r="F17" i="112"/>
  <c r="F37" i="112"/>
  <c r="F47" i="112"/>
  <c r="F8" i="112"/>
  <c r="F14" i="112"/>
  <c r="F31" i="112"/>
  <c r="F55" i="112"/>
  <c r="F36" i="112"/>
  <c r="F46" i="112"/>
  <c r="F19" i="112"/>
  <c r="F27" i="112"/>
  <c r="F60" i="112"/>
  <c r="F63" i="112"/>
  <c r="F69" i="112"/>
  <c r="F53" i="112"/>
  <c r="F66" i="112"/>
  <c r="F62" i="112"/>
  <c r="F67" i="112"/>
  <c r="F40" i="112"/>
  <c r="F44" i="112"/>
  <c r="F43" i="112"/>
  <c r="F16" i="112"/>
  <c r="F5" i="112"/>
  <c r="F65" i="112"/>
  <c r="F50" i="112"/>
  <c r="F7" i="112"/>
  <c r="F61" i="112"/>
  <c r="F49" i="112"/>
  <c r="F57" i="112"/>
  <c r="F45" i="112"/>
  <c r="F26" i="112"/>
  <c r="F24" i="112"/>
  <c r="F34" i="112"/>
  <c r="F22" i="112"/>
  <c r="F35" i="112"/>
  <c r="U2" i="75"/>
  <c r="V2" i="75" s="1"/>
  <c r="AD2" i="75"/>
  <c r="AE2" i="75" s="1"/>
  <c r="A497" i="61"/>
  <c r="AK102" i="47"/>
  <c r="AI102" i="47"/>
  <c r="AJ102" i="47"/>
  <c r="AI85" i="47"/>
  <c r="A473" i="61"/>
  <c r="AJ85" i="47"/>
  <c r="AK85" i="47"/>
  <c r="AJ95" i="47"/>
  <c r="AK95" i="47"/>
  <c r="A337" i="61"/>
  <c r="AI95" i="47"/>
  <c r="AJ117" i="47"/>
  <c r="AI117" i="47"/>
  <c r="A381" i="61"/>
  <c r="AK117" i="47"/>
  <c r="AJ103" i="47"/>
  <c r="AI103" i="47"/>
  <c r="A393" i="61"/>
  <c r="AK103" i="47"/>
  <c r="A389" i="61"/>
  <c r="AK105" i="47"/>
  <c r="AI105" i="47"/>
  <c r="AJ105" i="47"/>
  <c r="AJ129" i="47"/>
  <c r="AK129" i="47"/>
  <c r="AI129" i="47"/>
  <c r="A325" i="61"/>
  <c r="AI147" i="47"/>
  <c r="AJ147" i="47"/>
  <c r="AK147" i="47"/>
  <c r="A401" i="61"/>
  <c r="AK126" i="47"/>
  <c r="AI126" i="47"/>
  <c r="AJ126" i="47"/>
  <c r="A385" i="61"/>
  <c r="AI119" i="47"/>
  <c r="AK119" i="47"/>
  <c r="AJ119" i="47"/>
  <c r="A353" i="61"/>
  <c r="AK79" i="47"/>
  <c r="AI79" i="47"/>
  <c r="AJ79" i="47"/>
  <c r="AI135" i="47"/>
  <c r="A305" i="61"/>
  <c r="AJ135" i="47"/>
  <c r="AK135" i="47"/>
  <c r="A429" i="61"/>
  <c r="AI89" i="47"/>
  <c r="AJ89" i="47"/>
  <c r="AK89" i="47"/>
  <c r="AJ112" i="47"/>
  <c r="A297" i="61"/>
  <c r="AI112" i="47"/>
  <c r="AK112" i="47"/>
  <c r="AK86" i="47"/>
  <c r="AJ86" i="47"/>
  <c r="AI86" i="47"/>
  <c r="A433" i="61"/>
  <c r="AJ127" i="47"/>
  <c r="AI127" i="47"/>
  <c r="AK127" i="47"/>
  <c r="A329" i="61"/>
  <c r="AI145" i="47"/>
  <c r="AK145" i="47"/>
  <c r="AJ145" i="47"/>
  <c r="AK140" i="47"/>
  <c r="AJ140" i="47"/>
  <c r="AI140" i="47"/>
  <c r="AI74" i="47"/>
  <c r="AJ74" i="47"/>
  <c r="AK74" i="47"/>
  <c r="A441" i="61"/>
  <c r="A457" i="61"/>
  <c r="AI94" i="47"/>
  <c r="AJ94" i="47"/>
  <c r="AK94" i="47"/>
  <c r="A513" i="61"/>
  <c r="AI91" i="47"/>
  <c r="AK91" i="47"/>
  <c r="AJ91" i="47"/>
  <c r="AK148" i="47"/>
  <c r="AJ148" i="47"/>
  <c r="AI148" i="47"/>
  <c r="A417" i="61"/>
  <c r="AI115" i="47"/>
  <c r="AK115" i="47"/>
  <c r="AJ115" i="47"/>
  <c r="AK83" i="47"/>
  <c r="AI83" i="47"/>
  <c r="A285" i="61"/>
  <c r="AJ83" i="47"/>
  <c r="A481" i="61"/>
  <c r="AK138" i="47"/>
  <c r="AI138" i="47"/>
  <c r="AJ138" i="47"/>
  <c r="AJ101" i="47"/>
  <c r="AI101" i="47"/>
  <c r="A321" i="61"/>
  <c r="AK101" i="47"/>
  <c r="A489" i="61"/>
  <c r="AK132" i="47"/>
  <c r="AI132" i="47"/>
  <c r="AJ132" i="47"/>
  <c r="AK146" i="47"/>
  <c r="AJ146" i="47"/>
  <c r="AI146" i="47"/>
  <c r="AJ96" i="47"/>
  <c r="A469" i="61"/>
  <c r="AI96" i="47"/>
  <c r="AK96" i="47"/>
  <c r="AK82" i="47"/>
  <c r="AI82" i="47"/>
  <c r="AJ82" i="47"/>
  <c r="A449" i="61"/>
  <c r="A465" i="61"/>
  <c r="AK113" i="47"/>
  <c r="AJ113" i="47"/>
  <c r="AI113" i="47"/>
  <c r="AJ134" i="47"/>
  <c r="AK134" i="47"/>
  <c r="AI134" i="47"/>
  <c r="A333" i="61"/>
  <c r="AJ84" i="47"/>
  <c r="AI84" i="47"/>
  <c r="A413" i="61"/>
  <c r="AK84" i="47"/>
  <c r="AI130" i="47"/>
  <c r="A485" i="61"/>
  <c r="AK130" i="47"/>
  <c r="AJ130" i="47"/>
  <c r="X2" i="75"/>
  <c r="Y2" i="75" s="1"/>
  <c r="A289" i="61"/>
  <c r="AI97" i="47"/>
  <c r="AK97" i="47"/>
  <c r="AJ97" i="47"/>
  <c r="AI139" i="47"/>
  <c r="AK139" i="47"/>
  <c r="AJ139" i="47"/>
  <c r="A365" i="61"/>
  <c r="AI99" i="47"/>
  <c r="AK99" i="47"/>
  <c r="AJ99" i="47"/>
  <c r="AK80" i="47"/>
  <c r="A445" i="61"/>
  <c r="AJ80" i="47"/>
  <c r="AI80" i="47"/>
  <c r="AI123" i="47"/>
  <c r="AJ123" i="47"/>
  <c r="AK123" i="47"/>
  <c r="A357" i="61"/>
  <c r="AJ131" i="47"/>
  <c r="AI131" i="47"/>
  <c r="A421" i="61"/>
  <c r="AK131" i="47"/>
  <c r="A437" i="61"/>
  <c r="AJ78" i="47"/>
  <c r="AI78" i="47"/>
  <c r="AK78" i="47"/>
  <c r="AK142" i="47"/>
  <c r="AI142" i="47"/>
  <c r="AJ142" i="47"/>
  <c r="AJ76" i="47"/>
  <c r="AK76" i="47"/>
  <c r="A349" i="61"/>
  <c r="AI76" i="47"/>
  <c r="AK143" i="47"/>
  <c r="AI143" i="47"/>
  <c r="AJ143" i="47"/>
  <c r="AK114" i="47"/>
  <c r="AJ114" i="47"/>
  <c r="AI114" i="47"/>
  <c r="A397" i="61"/>
  <c r="AI121" i="47"/>
  <c r="AJ121" i="47"/>
  <c r="AK121" i="47"/>
  <c r="AK90" i="47"/>
  <c r="A309" i="61"/>
  <c r="AI90" i="47"/>
  <c r="AJ90" i="47"/>
  <c r="AJ122" i="47"/>
  <c r="AK122" i="47"/>
  <c r="A277" i="61"/>
  <c r="AI122" i="47"/>
  <c r="AK75" i="47"/>
  <c r="AI75" i="47"/>
  <c r="AJ75" i="47"/>
  <c r="AJ144" i="47"/>
  <c r="AI144" i="47"/>
  <c r="AK144" i="47"/>
  <c r="AI92" i="47"/>
  <c r="AJ92" i="47"/>
  <c r="AK92" i="47"/>
  <c r="AA2" i="75"/>
  <c r="AB2" i="75" s="1"/>
  <c r="AI133" i="47"/>
  <c r="A509" i="61"/>
  <c r="AK133" i="47"/>
  <c r="AJ133" i="47"/>
  <c r="A425" i="61"/>
  <c r="AJ109" i="47"/>
  <c r="AK109" i="47"/>
  <c r="AI109" i="47"/>
  <c r="A293" i="61"/>
  <c r="AI107" i="47"/>
  <c r="AJ107" i="47"/>
  <c r="AK107" i="47"/>
  <c r="AK111" i="47"/>
  <c r="A493" i="61"/>
  <c r="AI111" i="47"/>
  <c r="AJ111" i="47"/>
  <c r="AI93" i="47"/>
  <c r="AJ93" i="47"/>
  <c r="A453" i="61"/>
  <c r="AK93" i="47"/>
  <c r="A345" i="61"/>
  <c r="AI87" i="47"/>
  <c r="AJ87" i="47"/>
  <c r="AK87" i="47"/>
  <c r="A477" i="61"/>
  <c r="AJ137" i="47"/>
  <c r="AI137" i="47"/>
  <c r="AK137" i="47"/>
  <c r="AI81" i="47"/>
  <c r="AK81" i="47"/>
  <c r="A373" i="61"/>
  <c r="AJ81" i="47"/>
  <c r="AJ128" i="47"/>
  <c r="AI128" i="47"/>
  <c r="AK128" i="47"/>
  <c r="A281" i="61"/>
  <c r="AI118" i="47"/>
  <c r="AJ118" i="47"/>
  <c r="A301" i="61"/>
  <c r="AK118" i="47"/>
  <c r="AJ104" i="47"/>
  <c r="A409" i="61"/>
  <c r="AK104" i="47"/>
  <c r="AI104" i="47"/>
  <c r="AJ124" i="47"/>
  <c r="AI124" i="47"/>
  <c r="A317" i="61"/>
  <c r="AK124" i="47"/>
  <c r="AJ110" i="47"/>
  <c r="A405" i="61"/>
  <c r="AI110" i="47"/>
  <c r="AK110" i="47"/>
  <c r="AK116" i="47"/>
  <c r="A341" i="61"/>
  <c r="AI116" i="47"/>
  <c r="AJ116" i="47"/>
  <c r="AI141" i="47"/>
  <c r="AK141" i="47"/>
  <c r="AJ141" i="47"/>
  <c r="AJ108" i="47"/>
  <c r="AI108" i="47"/>
  <c r="AK108" i="47"/>
  <c r="AJ120" i="47"/>
  <c r="A369" i="61"/>
  <c r="AK120" i="47"/>
  <c r="AI120" i="47"/>
  <c r="AJ106" i="47"/>
  <c r="A377" i="61"/>
  <c r="AI106" i="47"/>
  <c r="AK106" i="47"/>
  <c r="AK98" i="47"/>
  <c r="A501" i="61"/>
  <c r="AI98" i="47"/>
  <c r="AJ98" i="47"/>
  <c r="D3" i="111"/>
  <c r="O2" i="75" l="1"/>
  <c r="N2" i="75" s="1"/>
  <c r="H3" i="112"/>
  <c r="S4" i="47"/>
  <c r="G281" i="61"/>
  <c r="H281" i="61"/>
  <c r="I281" i="61"/>
  <c r="G397" i="61"/>
  <c r="I397" i="61"/>
  <c r="H397" i="61"/>
  <c r="H421" i="61"/>
  <c r="I421" i="61"/>
  <c r="G421" i="61"/>
  <c r="G465" i="61"/>
  <c r="I465" i="61"/>
  <c r="H465" i="61"/>
  <c r="I429" i="61"/>
  <c r="H429" i="61"/>
  <c r="G429" i="61"/>
  <c r="G353" i="61"/>
  <c r="H353" i="61"/>
  <c r="I353" i="61"/>
  <c r="G385" i="61"/>
  <c r="H385" i="61"/>
  <c r="I385" i="61"/>
  <c r="H401" i="61"/>
  <c r="I401" i="61"/>
  <c r="G401" i="61"/>
  <c r="I325" i="61"/>
  <c r="H325" i="61"/>
  <c r="G325" i="61"/>
  <c r="H497" i="61"/>
  <c r="G497" i="61"/>
  <c r="I497" i="61"/>
  <c r="I501" i="61"/>
  <c r="H501" i="61"/>
  <c r="G501" i="61"/>
  <c r="G377" i="61"/>
  <c r="H377" i="61"/>
  <c r="I377" i="61"/>
  <c r="H369" i="61"/>
  <c r="G369" i="61"/>
  <c r="I369" i="61"/>
  <c r="H477" i="61"/>
  <c r="G477" i="61"/>
  <c r="I477" i="61"/>
  <c r="G345" i="61"/>
  <c r="H345" i="61"/>
  <c r="I345" i="61"/>
  <c r="H293" i="61"/>
  <c r="G293" i="61"/>
  <c r="I293" i="61"/>
  <c r="H425" i="61"/>
  <c r="I425" i="61"/>
  <c r="G425" i="61"/>
  <c r="I309" i="61"/>
  <c r="G309" i="61"/>
  <c r="H309" i="61"/>
  <c r="H357" i="61"/>
  <c r="I357" i="61"/>
  <c r="G357" i="61"/>
  <c r="N6" i="47"/>
  <c r="O7" i="47" s="1"/>
  <c r="G485" i="61"/>
  <c r="I485" i="61"/>
  <c r="H485" i="61"/>
  <c r="I469" i="61"/>
  <c r="H469" i="61"/>
  <c r="G469" i="61"/>
  <c r="H489" i="61"/>
  <c r="I489" i="61"/>
  <c r="G489" i="61"/>
  <c r="I481" i="61"/>
  <c r="G481" i="61"/>
  <c r="H481" i="61"/>
  <c r="G417" i="61"/>
  <c r="I417" i="61"/>
  <c r="H417" i="61"/>
  <c r="G441" i="61"/>
  <c r="I441" i="61"/>
  <c r="H441" i="61"/>
  <c r="G297" i="61"/>
  <c r="I297" i="61"/>
  <c r="H297" i="61"/>
  <c r="I305" i="61"/>
  <c r="G305" i="61"/>
  <c r="H305" i="61"/>
  <c r="I389" i="61"/>
  <c r="H389" i="61"/>
  <c r="G389" i="61"/>
  <c r="H473" i="61"/>
  <c r="I473" i="61"/>
  <c r="G473" i="61"/>
  <c r="I341" i="61"/>
  <c r="H341" i="61"/>
  <c r="G341" i="61"/>
  <c r="H405" i="61"/>
  <c r="G405" i="61"/>
  <c r="I405" i="61"/>
  <c r="G409" i="61"/>
  <c r="I409" i="61"/>
  <c r="H409" i="61"/>
  <c r="H493" i="61"/>
  <c r="G493" i="61"/>
  <c r="I493" i="61"/>
  <c r="G509" i="61"/>
  <c r="H509" i="61"/>
  <c r="I509" i="61"/>
  <c r="I277" i="61"/>
  <c r="G277" i="61"/>
  <c r="H277" i="61"/>
  <c r="I437" i="61"/>
  <c r="G437" i="61"/>
  <c r="H437" i="61"/>
  <c r="H365" i="61"/>
  <c r="I365" i="61"/>
  <c r="G365" i="61"/>
  <c r="G413" i="61"/>
  <c r="I413" i="61"/>
  <c r="H413" i="61"/>
  <c r="H513" i="61"/>
  <c r="I513" i="61"/>
  <c r="G513" i="61"/>
  <c r="I457" i="61"/>
  <c r="G457" i="61"/>
  <c r="H457" i="61"/>
  <c r="H337" i="61"/>
  <c r="G337" i="61"/>
  <c r="I337" i="61"/>
  <c r="H317" i="61"/>
  <c r="G317" i="61"/>
  <c r="I317" i="61"/>
  <c r="H301" i="61"/>
  <c r="G301" i="61"/>
  <c r="I301" i="61"/>
  <c r="G373" i="61"/>
  <c r="I373" i="61"/>
  <c r="H373" i="61"/>
  <c r="I453" i="61"/>
  <c r="G453" i="61"/>
  <c r="H453" i="61"/>
  <c r="I349" i="61"/>
  <c r="H349" i="61"/>
  <c r="G349" i="61"/>
  <c r="I445" i="61"/>
  <c r="H445" i="61"/>
  <c r="G445" i="61"/>
  <c r="I289" i="61"/>
  <c r="H289" i="61"/>
  <c r="G289" i="61"/>
  <c r="H333" i="61"/>
  <c r="I333" i="61"/>
  <c r="G333" i="61"/>
  <c r="H449" i="61"/>
  <c r="G449" i="61"/>
  <c r="I449" i="61"/>
  <c r="G321" i="61"/>
  <c r="I321" i="61"/>
  <c r="H321" i="61"/>
  <c r="I285" i="61"/>
  <c r="H285" i="61"/>
  <c r="G285" i="61"/>
  <c r="H329" i="61"/>
  <c r="G329" i="61"/>
  <c r="I329" i="61"/>
  <c r="H433" i="61"/>
  <c r="G433" i="61"/>
  <c r="I433" i="61"/>
  <c r="G393" i="61"/>
  <c r="I393" i="61"/>
  <c r="H393" i="61"/>
  <c r="H381" i="61"/>
  <c r="I381" i="61"/>
  <c r="G381" i="61"/>
  <c r="F14" i="47" l="1"/>
  <c r="F24" i="47"/>
  <c r="F70" i="47"/>
  <c r="F54" i="47"/>
  <c r="F139" i="47"/>
  <c r="F13" i="47"/>
  <c r="S7" i="47"/>
  <c r="S6" i="47" s="1"/>
  <c r="F101" i="47"/>
  <c r="F29" i="47"/>
  <c r="F63" i="47"/>
  <c r="F49" i="47"/>
  <c r="F96" i="47"/>
  <c r="F109" i="47"/>
  <c r="F88" i="47"/>
  <c r="F143" i="47"/>
  <c r="F56" i="47"/>
  <c r="F36" i="47"/>
  <c r="F47" i="47"/>
  <c r="F105" i="47"/>
  <c r="F121" i="47"/>
  <c r="F51" i="47"/>
  <c r="F74" i="47"/>
  <c r="F100" i="47"/>
  <c r="F83" i="47"/>
  <c r="F136" i="47"/>
  <c r="F97" i="47"/>
  <c r="F65" i="47"/>
  <c r="F62" i="47"/>
  <c r="F39" i="47"/>
  <c r="F107" i="47"/>
  <c r="F108" i="47"/>
  <c r="F79" i="47"/>
  <c r="F64" i="47"/>
  <c r="F17" i="47"/>
  <c r="F48" i="47"/>
  <c r="F117" i="47"/>
  <c r="F130" i="47"/>
  <c r="F81" i="47"/>
  <c r="F94" i="47"/>
  <c r="F129" i="47"/>
  <c r="F104" i="47"/>
  <c r="F16" i="47"/>
  <c r="F120" i="47"/>
  <c r="F84" i="47"/>
  <c r="F40" i="47"/>
  <c r="M2" i="75"/>
  <c r="F67" i="47"/>
  <c r="F45" i="47"/>
  <c r="F114" i="47"/>
  <c r="F42" i="47"/>
  <c r="F27" i="47"/>
  <c r="F50" i="47"/>
  <c r="F131" i="47"/>
  <c r="F102" i="47"/>
  <c r="F52" i="47"/>
  <c r="F31" i="47"/>
  <c r="F112" i="47"/>
  <c r="F15" i="47"/>
  <c r="F128" i="47"/>
  <c r="F80" i="47"/>
  <c r="F85" i="47"/>
  <c r="F106" i="47"/>
  <c r="F12" i="47"/>
  <c r="F11" i="47"/>
  <c r="F53" i="47"/>
  <c r="F127" i="47"/>
  <c r="F72" i="47"/>
  <c r="F21" i="47"/>
  <c r="F142" i="47"/>
  <c r="F111" i="47"/>
  <c r="F119" i="47"/>
  <c r="F76" i="47"/>
  <c r="F77" i="47"/>
  <c r="F126" i="47"/>
  <c r="F134" i="47"/>
  <c r="F68" i="47"/>
  <c r="F113" i="47"/>
  <c r="F87" i="47"/>
  <c r="F124" i="47"/>
  <c r="F115" i="47"/>
  <c r="F66" i="47"/>
  <c r="F34" i="47"/>
  <c r="F71" i="47"/>
  <c r="F93" i="47"/>
  <c r="F59" i="47"/>
  <c r="F145" i="47"/>
  <c r="F32" i="47"/>
  <c r="F125" i="47"/>
  <c r="F23" i="47"/>
  <c r="F140" i="47"/>
  <c r="F22" i="47"/>
  <c r="F91" i="47"/>
  <c r="F61" i="47"/>
  <c r="F135" i="47"/>
  <c r="F138" i="47"/>
  <c r="F98" i="47"/>
  <c r="F43" i="47"/>
  <c r="F89" i="47"/>
  <c r="F123" i="47"/>
  <c r="F58" i="47"/>
  <c r="F69" i="47"/>
  <c r="F147" i="47"/>
  <c r="F137" i="47"/>
  <c r="F86" i="47"/>
  <c r="F75" i="47"/>
  <c r="F78" i="47"/>
  <c r="F18" i="47"/>
  <c r="F95" i="47"/>
  <c r="F133" i="47"/>
  <c r="F41" i="47"/>
  <c r="F38" i="47"/>
  <c r="F99" i="47"/>
  <c r="F122" i="47"/>
  <c r="F82" i="47"/>
  <c r="F20" i="47"/>
  <c r="F73" i="47"/>
  <c r="F25" i="47"/>
  <c r="F33" i="47"/>
  <c r="F30" i="47"/>
  <c r="F146" i="47"/>
  <c r="F132" i="47"/>
  <c r="F141" i="47"/>
  <c r="F60" i="47"/>
  <c r="F90" i="47"/>
  <c r="E2" i="115"/>
  <c r="F46" i="47"/>
  <c r="F55" i="47"/>
  <c r="F57" i="47"/>
  <c r="F26" i="47"/>
  <c r="F148" i="47"/>
  <c r="F118" i="47"/>
  <c r="F35" i="47"/>
  <c r="F44" i="47"/>
  <c r="F103" i="47"/>
  <c r="F116" i="47"/>
  <c r="F19" i="47"/>
  <c r="F28" i="47"/>
  <c r="F92" i="47"/>
  <c r="F37" i="47"/>
  <c r="F144" i="47"/>
  <c r="F110" i="47"/>
  <c r="B207" i="112"/>
  <c r="E207" i="112" s="1"/>
  <c r="B87" i="112"/>
  <c r="E87" i="112" s="1"/>
  <c r="B129" i="112"/>
  <c r="E129" i="112" s="1"/>
  <c r="B227" i="112"/>
  <c r="E227" i="112" s="1"/>
  <c r="B65" i="112"/>
  <c r="E65" i="112" s="1"/>
  <c r="B154" i="112"/>
  <c r="E154" i="112" s="1"/>
  <c r="B181" i="112"/>
  <c r="E181" i="112" s="1"/>
  <c r="B184" i="112"/>
  <c r="E184" i="112" s="1"/>
  <c r="B27" i="112"/>
  <c r="E27" i="112" s="1"/>
  <c r="B91" i="112"/>
  <c r="E91" i="112" s="1"/>
  <c r="B102" i="112"/>
  <c r="E102" i="112" s="1"/>
  <c r="B64" i="112"/>
  <c r="E64" i="112" s="1"/>
  <c r="B29" i="112"/>
  <c r="E29" i="112" s="1"/>
  <c r="B15" i="112"/>
  <c r="E15" i="112" s="1"/>
  <c r="B99" i="112"/>
  <c r="E99" i="112" s="1"/>
  <c r="B223" i="112"/>
  <c r="E223" i="112" s="1"/>
  <c r="B119" i="112"/>
  <c r="E119" i="112" s="1"/>
  <c r="B113" i="112"/>
  <c r="E113" i="112" s="1"/>
  <c r="B237" i="112"/>
  <c r="E237" i="112" s="1"/>
  <c r="B213" i="112"/>
  <c r="E213" i="112" s="1"/>
  <c r="B9" i="112"/>
  <c r="E9" i="112" s="1"/>
  <c r="B257" i="112"/>
  <c r="E257" i="112" s="1"/>
  <c r="B16" i="112"/>
  <c r="E16" i="112" s="1"/>
  <c r="B83" i="112"/>
  <c r="E83" i="112" s="1"/>
  <c r="B17" i="112"/>
  <c r="E17" i="112" s="1"/>
  <c r="B80" i="112"/>
  <c r="E80" i="112" s="1"/>
  <c r="B46" i="112"/>
  <c r="E46" i="112" s="1"/>
  <c r="B33" i="112"/>
  <c r="E33" i="112" s="1"/>
  <c r="B137" i="112"/>
  <c r="E137" i="112" s="1"/>
  <c r="B125" i="112"/>
  <c r="E125" i="112" s="1"/>
  <c r="B115" i="112"/>
  <c r="E115" i="112" s="1"/>
  <c r="B202" i="112"/>
  <c r="E202" i="112" s="1"/>
  <c r="B112" i="112"/>
  <c r="E112" i="112" s="1"/>
  <c r="B209" i="112"/>
  <c r="E209" i="112" s="1"/>
  <c r="B136" i="112"/>
  <c r="E136" i="112" s="1"/>
  <c r="B201" i="112"/>
  <c r="E201" i="112" s="1"/>
  <c r="B105" i="112"/>
  <c r="E105" i="112" s="1"/>
  <c r="B54" i="112"/>
  <c r="E54" i="112" s="1"/>
  <c r="B256" i="112"/>
  <c r="E256" i="112" s="1"/>
  <c r="B127" i="112"/>
  <c r="E127" i="112" s="1"/>
  <c r="B177" i="112"/>
  <c r="E177" i="112" s="1"/>
  <c r="B121" i="112"/>
  <c r="E121" i="112" s="1"/>
  <c r="B140" i="112"/>
  <c r="E140" i="112" s="1"/>
  <c r="B35" i="112"/>
  <c r="E35" i="112" s="1"/>
  <c r="B246" i="112"/>
  <c r="E246" i="112" s="1"/>
  <c r="B204" i="112"/>
  <c r="E204" i="112" s="1"/>
  <c r="B171" i="112"/>
  <c r="E171" i="112" s="1"/>
  <c r="B247" i="112"/>
  <c r="E247" i="112" s="1"/>
  <c r="B36" i="112"/>
  <c r="E36" i="112" s="1"/>
  <c r="B8" i="112"/>
  <c r="E8" i="112" s="1"/>
  <c r="B166" i="112"/>
  <c r="E166" i="112" s="1"/>
  <c r="B41" i="112"/>
  <c r="E41" i="112" s="1"/>
  <c r="B79" i="112"/>
  <c r="E79" i="112" s="1"/>
  <c r="B74" i="112"/>
  <c r="E74" i="112" s="1"/>
  <c r="B142" i="112"/>
  <c r="E142" i="112" s="1"/>
  <c r="B28" i="112"/>
  <c r="E28" i="112" s="1"/>
  <c r="B190" i="112"/>
  <c r="E190" i="112" s="1"/>
  <c r="B226" i="112"/>
  <c r="E226" i="112" s="1"/>
  <c r="B72" i="112"/>
  <c r="E72" i="112" s="1"/>
  <c r="B228" i="112"/>
  <c r="E228" i="112" s="1"/>
  <c r="B176" i="112"/>
  <c r="E176" i="112" s="1"/>
  <c r="B77" i="112"/>
  <c r="E77" i="112" s="1"/>
  <c r="B111" i="112"/>
  <c r="E111" i="112" s="1"/>
  <c r="B239" i="112"/>
  <c r="E239" i="112" s="1"/>
  <c r="B214" i="112"/>
  <c r="E214" i="112" s="1"/>
  <c r="B120" i="112"/>
  <c r="E120" i="112" s="1"/>
  <c r="B168" i="112"/>
  <c r="E168" i="112" s="1"/>
  <c r="B235" i="112"/>
  <c r="E235" i="112" s="1"/>
  <c r="B259" i="112"/>
  <c r="E259" i="112" s="1"/>
  <c r="B61" i="112"/>
  <c r="E61" i="112" s="1"/>
  <c r="B42" i="112"/>
  <c r="E42" i="112" s="1"/>
  <c r="B234" i="112"/>
  <c r="E234" i="112" s="1"/>
  <c r="B231" i="112"/>
  <c r="E231" i="112" s="1"/>
  <c r="B5" i="112"/>
  <c r="E5" i="112" s="1"/>
  <c r="B76" i="112"/>
  <c r="E76" i="112" s="1"/>
  <c r="B200" i="112"/>
  <c r="E200" i="112" s="1"/>
  <c r="B50" i="112"/>
  <c r="E50" i="112" s="1"/>
  <c r="B12" i="112"/>
  <c r="E12" i="112" s="1"/>
  <c r="B242" i="112"/>
  <c r="E242" i="112" s="1"/>
  <c r="B193" i="112"/>
  <c r="E193" i="112" s="1"/>
  <c r="B229" i="112"/>
  <c r="E229" i="112" s="1"/>
  <c r="B107" i="112"/>
  <c r="E107" i="112" s="1"/>
  <c r="B238" i="112"/>
  <c r="E238" i="112" s="1"/>
  <c r="B100" i="112"/>
  <c r="E100" i="112" s="1"/>
  <c r="B22" i="112"/>
  <c r="E22" i="112" s="1"/>
  <c r="B248" i="112"/>
  <c r="E248" i="112" s="1"/>
  <c r="B159" i="112"/>
  <c r="E159" i="112" s="1"/>
  <c r="B148" i="112"/>
  <c r="E148" i="112" s="1"/>
  <c r="B175" i="112"/>
  <c r="E175" i="112" s="1"/>
  <c r="B133" i="112"/>
  <c r="E133" i="112" s="1"/>
  <c r="B191" i="112"/>
  <c r="E191" i="112" s="1"/>
  <c r="B26" i="112"/>
  <c r="E26" i="112" s="1"/>
  <c r="B157" i="112"/>
  <c r="E157" i="112" s="1"/>
  <c r="B218" i="112"/>
  <c r="E218" i="112" s="1"/>
  <c r="B147" i="112"/>
  <c r="E147" i="112" s="1"/>
  <c r="B53" i="112"/>
  <c r="E53" i="112" s="1"/>
  <c r="B37" i="112"/>
  <c r="E37" i="112" s="1"/>
  <c r="B122" i="112"/>
  <c r="E122" i="112" s="1"/>
  <c r="B97" i="112"/>
  <c r="E97" i="112" s="1"/>
  <c r="B21" i="112"/>
  <c r="E21" i="112" s="1"/>
  <c r="B7" i="112"/>
  <c r="E7" i="112" s="1"/>
  <c r="B101" i="112"/>
  <c r="E101" i="112" s="1"/>
  <c r="B150" i="112"/>
  <c r="E150" i="112" s="1"/>
  <c r="B131" i="112"/>
  <c r="E131" i="112" s="1"/>
  <c r="B86" i="112"/>
  <c r="E86" i="112" s="1"/>
  <c r="B117" i="112"/>
  <c r="E117" i="112" s="1"/>
  <c r="B51" i="112"/>
  <c r="E51" i="112" s="1"/>
  <c r="B210" i="112"/>
  <c r="E210" i="112" s="1"/>
  <c r="B81" i="112"/>
  <c r="E81" i="112" s="1"/>
  <c r="B43" i="112"/>
  <c r="E43" i="112" s="1"/>
  <c r="B170" i="112"/>
  <c r="E170" i="112" s="1"/>
  <c r="B178" i="112"/>
  <c r="E178" i="112" s="1"/>
  <c r="B24" i="112"/>
  <c r="E24" i="112" s="1"/>
  <c r="B224" i="112"/>
  <c r="E224" i="112" s="1"/>
  <c r="B68" i="112"/>
  <c r="E68" i="112" s="1"/>
  <c r="B208" i="112"/>
  <c r="E208" i="112" s="1"/>
  <c r="B85" i="112"/>
  <c r="E85" i="112" s="1"/>
  <c r="B126" i="112"/>
  <c r="E126" i="112" s="1"/>
  <c r="B179" i="112"/>
  <c r="E179" i="112" s="1"/>
  <c r="B141" i="112"/>
  <c r="E141" i="112" s="1"/>
  <c r="B75" i="112"/>
  <c r="E75" i="112" s="1"/>
  <c r="B172" i="112"/>
  <c r="E172" i="112" s="1"/>
  <c r="B45" i="112"/>
  <c r="E45" i="112" s="1"/>
  <c r="B243" i="112"/>
  <c r="E243" i="112" s="1"/>
  <c r="B240" i="112"/>
  <c r="E240" i="112" s="1"/>
  <c r="B98" i="112"/>
  <c r="E98" i="112" s="1"/>
  <c r="B258" i="112"/>
  <c r="E258" i="112" s="1"/>
  <c r="B103" i="112"/>
  <c r="E103" i="112" s="1"/>
  <c r="B161" i="112"/>
  <c r="E161" i="112" s="1"/>
  <c r="B38" i="112"/>
  <c r="E38" i="112" s="1"/>
  <c r="B78" i="112"/>
  <c r="E78" i="112" s="1"/>
  <c r="B233" i="112"/>
  <c r="E233" i="112" s="1"/>
  <c r="B174" i="112"/>
  <c r="E174" i="112" s="1"/>
  <c r="B58" i="112"/>
  <c r="E58" i="112" s="1"/>
  <c r="B164" i="112"/>
  <c r="E164" i="112" s="1"/>
  <c r="B109" i="112"/>
  <c r="E109" i="112" s="1"/>
  <c r="B205" i="112"/>
  <c r="E205" i="112" s="1"/>
  <c r="B158" i="112"/>
  <c r="E158" i="112" s="1"/>
  <c r="B241" i="112"/>
  <c r="E241" i="112" s="1"/>
  <c r="B182" i="112"/>
  <c r="E182" i="112" s="1"/>
  <c r="B187" i="112"/>
  <c r="E187" i="112" s="1"/>
  <c r="B67" i="112"/>
  <c r="E67" i="112" s="1"/>
  <c r="B106" i="112"/>
  <c r="E106" i="112" s="1"/>
  <c r="B163" i="112"/>
  <c r="E163" i="112" s="1"/>
  <c r="B196" i="112"/>
  <c r="E196" i="112" s="1"/>
  <c r="B60" i="112"/>
  <c r="E60" i="112" s="1"/>
  <c r="B156" i="112"/>
  <c r="E156" i="112" s="1"/>
  <c r="B13" i="112"/>
  <c r="E13" i="112" s="1"/>
  <c r="B198" i="112"/>
  <c r="E198" i="112" s="1"/>
  <c r="B130" i="112"/>
  <c r="E130" i="112" s="1"/>
  <c r="B69" i="112"/>
  <c r="E69" i="112" s="1"/>
  <c r="B138" i="112"/>
  <c r="E138" i="112" s="1"/>
  <c r="B185" i="112"/>
  <c r="E185" i="112" s="1"/>
  <c r="B221" i="112"/>
  <c r="E221" i="112" s="1"/>
  <c r="B56" i="112"/>
  <c r="E56" i="112" s="1"/>
  <c r="B195" i="112"/>
  <c r="E195" i="112" s="1"/>
  <c r="B66" i="112"/>
  <c r="E66" i="112" s="1"/>
  <c r="B139" i="112"/>
  <c r="E139" i="112" s="1"/>
  <c r="B59" i="112"/>
  <c r="E59" i="112" s="1"/>
  <c r="B251" i="112"/>
  <c r="E251" i="112" s="1"/>
  <c r="B152" i="112"/>
  <c r="E152" i="112" s="1"/>
  <c r="B160" i="112"/>
  <c r="E160" i="112" s="1"/>
  <c r="B34" i="112"/>
  <c r="E34" i="112" s="1"/>
  <c r="B230" i="112"/>
  <c r="E230" i="112" s="1"/>
  <c r="B149" i="112"/>
  <c r="E149" i="112" s="1"/>
  <c r="B20" i="112"/>
  <c r="E20" i="112" s="1"/>
  <c r="B57" i="112"/>
  <c r="E57" i="112" s="1"/>
  <c r="B47" i="112"/>
  <c r="E47" i="112" s="1"/>
  <c r="B249" i="112"/>
  <c r="E249" i="112" s="1"/>
  <c r="B89" i="112"/>
  <c r="E89" i="112" s="1"/>
  <c r="B44" i="112"/>
  <c r="E44" i="112" s="1"/>
  <c r="B70" i="112"/>
  <c r="E70" i="112" s="1"/>
  <c r="B162" i="112"/>
  <c r="E162" i="112" s="1"/>
  <c r="B63" i="112"/>
  <c r="E63" i="112" s="1"/>
  <c r="B169" i="112"/>
  <c r="E169" i="112" s="1"/>
  <c r="B165" i="112"/>
  <c r="E165" i="112" s="1"/>
  <c r="B197" i="112"/>
  <c r="E197" i="112" s="1"/>
  <c r="B118" i="112"/>
  <c r="E118" i="112" s="1"/>
  <c r="B212" i="112"/>
  <c r="E212" i="112" s="1"/>
  <c r="B84" i="112"/>
  <c r="E84" i="112" s="1"/>
  <c r="B18" i="112"/>
  <c r="E18" i="112" s="1"/>
  <c r="B49" i="112"/>
  <c r="E49" i="112" s="1"/>
  <c r="B93" i="112"/>
  <c r="E93" i="112" s="1"/>
  <c r="B110" i="112"/>
  <c r="E110" i="112" s="1"/>
  <c r="B62" i="112"/>
  <c r="E62" i="112" s="1"/>
  <c r="B222" i="112"/>
  <c r="E222" i="112" s="1"/>
  <c r="B220" i="112"/>
  <c r="E220" i="112" s="1"/>
  <c r="B206" i="112"/>
  <c r="E206" i="112" s="1"/>
  <c r="B232" i="112"/>
  <c r="E232" i="112" s="1"/>
  <c r="B82" i="112"/>
  <c r="E82" i="112" s="1"/>
  <c r="B153" i="112"/>
  <c r="E153" i="112" s="1"/>
  <c r="B225" i="112"/>
  <c r="E225" i="112" s="1"/>
  <c r="B39" i="112"/>
  <c r="E39" i="112" s="1"/>
  <c r="B4" i="112"/>
  <c r="E4" i="112" s="1"/>
  <c r="B253" i="112"/>
  <c r="E253" i="112" s="1"/>
  <c r="B25" i="112"/>
  <c r="E25" i="112" s="1"/>
  <c r="B146" i="112"/>
  <c r="E146" i="112" s="1"/>
  <c r="B11" i="112"/>
  <c r="E11" i="112" s="1"/>
  <c r="B254" i="112"/>
  <c r="E254" i="112" s="1"/>
  <c r="B90" i="112"/>
  <c r="E90" i="112" s="1"/>
  <c r="B183" i="112"/>
  <c r="E183" i="112" s="1"/>
  <c r="B52" i="112"/>
  <c r="E52" i="112" s="1"/>
  <c r="B108" i="112"/>
  <c r="E108" i="112" s="1"/>
  <c r="B40" i="112"/>
  <c r="E40" i="112" s="1"/>
  <c r="B188" i="112"/>
  <c r="E188" i="112" s="1"/>
  <c r="B71" i="112"/>
  <c r="E71" i="112" s="1"/>
  <c r="B124" i="112"/>
  <c r="E124" i="112" s="1"/>
  <c r="B55" i="112"/>
  <c r="E55" i="112" s="1"/>
  <c r="B145" i="112"/>
  <c r="E145" i="112" s="1"/>
  <c r="B128" i="112"/>
  <c r="E128" i="112" s="1"/>
  <c r="B96" i="112"/>
  <c r="E96" i="112" s="1"/>
  <c r="B132" i="112"/>
  <c r="E132" i="112" s="1"/>
  <c r="B104" i="112"/>
  <c r="E104" i="112" s="1"/>
  <c r="B32" i="112"/>
  <c r="E32" i="112" s="1"/>
  <c r="B114" i="112"/>
  <c r="E114" i="112" s="1"/>
  <c r="B94" i="112"/>
  <c r="E94" i="112" s="1"/>
  <c r="B143" i="112"/>
  <c r="E143" i="112" s="1"/>
  <c r="B134" i="112"/>
  <c r="E134" i="112" s="1"/>
  <c r="B14" i="112"/>
  <c r="E14" i="112" s="1"/>
  <c r="B144" i="112"/>
  <c r="E144" i="112" s="1"/>
  <c r="B73" i="112"/>
  <c r="E73" i="112" s="1"/>
  <c r="B92" i="112"/>
  <c r="E92" i="112" s="1"/>
  <c r="B173" i="112"/>
  <c r="E173" i="112" s="1"/>
  <c r="B135" i="112"/>
  <c r="E135" i="112" s="1"/>
  <c r="B30" i="112"/>
  <c r="E30" i="112" s="1"/>
  <c r="B6" i="112"/>
  <c r="E6" i="112" s="1"/>
  <c r="B255" i="112"/>
  <c r="E255" i="112" s="1"/>
  <c r="B10" i="112"/>
  <c r="E10" i="112" s="1"/>
  <c r="B203" i="112"/>
  <c r="E203" i="112" s="1"/>
  <c r="B31" i="112"/>
  <c r="E31" i="112" s="1"/>
  <c r="B23" i="112"/>
  <c r="E23" i="112" s="1"/>
  <c r="B151" i="112"/>
  <c r="E151" i="112" s="1"/>
  <c r="B167" i="112"/>
  <c r="E167" i="112" s="1"/>
  <c r="B199" i="112"/>
  <c r="E199" i="112" s="1"/>
  <c r="B192" i="112"/>
  <c r="E192" i="112" s="1"/>
  <c r="B217" i="112"/>
  <c r="E217" i="112" s="1"/>
  <c r="B211" i="112"/>
  <c r="E211" i="112" s="1"/>
  <c r="B250" i="112"/>
  <c r="E250" i="112" s="1"/>
  <c r="B48" i="112"/>
  <c r="E48" i="112" s="1"/>
  <c r="B180" i="112"/>
  <c r="E180" i="112" s="1"/>
  <c r="B95" i="112"/>
  <c r="E95" i="112" s="1"/>
  <c r="B189" i="112"/>
  <c r="E189" i="112" s="1"/>
  <c r="B194" i="112"/>
  <c r="E194" i="112" s="1"/>
  <c r="B186" i="112"/>
  <c r="E186" i="112" s="1"/>
  <c r="B215" i="112"/>
  <c r="E215" i="112" s="1"/>
  <c r="B216" i="112"/>
  <c r="E216" i="112" s="1"/>
  <c r="B245" i="112"/>
  <c r="E245" i="112" s="1"/>
  <c r="B219" i="112"/>
  <c r="E219" i="112" s="1"/>
  <c r="B123" i="112"/>
  <c r="E123" i="112" s="1"/>
  <c r="B116" i="112"/>
  <c r="E116" i="112" s="1"/>
  <c r="B244" i="112"/>
  <c r="E244" i="112" s="1"/>
  <c r="B88" i="112"/>
  <c r="E88" i="112" s="1"/>
  <c r="B19" i="112"/>
  <c r="E19" i="112" s="1"/>
  <c r="B252" i="112"/>
  <c r="E252" i="112" s="1"/>
  <c r="B236" i="112"/>
  <c r="E236" i="112" s="1"/>
  <c r="B155" i="112"/>
  <c r="E155" i="112" s="1"/>
  <c r="S8" i="47"/>
  <c r="B54" i="75" l="1"/>
  <c r="A56" i="48" s="1"/>
  <c r="C56" i="48" s="1"/>
  <c r="B65" i="75"/>
  <c r="A33" i="48" s="1"/>
  <c r="C33" i="48" s="1"/>
  <c r="D4" i="75"/>
  <c r="D46" i="75"/>
  <c r="D3" i="75"/>
  <c r="D42" i="75"/>
  <c r="B16" i="75"/>
  <c r="A46" i="48" s="1"/>
  <c r="C46" i="48" s="1"/>
  <c r="D70" i="75"/>
  <c r="B57" i="75"/>
  <c r="A65" i="48" s="1"/>
  <c r="C65" i="48" s="1"/>
  <c r="D53" i="75"/>
  <c r="D26" i="75"/>
  <c r="D24" i="75"/>
  <c r="B41" i="75"/>
  <c r="A11" i="48" s="1"/>
  <c r="C11" i="48" s="1"/>
  <c r="B18" i="75"/>
  <c r="A54" i="48" s="1"/>
  <c r="C54" i="48" s="1"/>
  <c r="D11" i="75"/>
  <c r="D47" i="75"/>
  <c r="B17" i="75"/>
  <c r="A50" i="48" s="1"/>
  <c r="C50" i="48" s="1"/>
  <c r="B27" i="75"/>
  <c r="A39" i="48" s="1"/>
  <c r="C39" i="48" s="1"/>
  <c r="B48" i="75"/>
  <c r="A32" i="48" s="1"/>
  <c r="C32" i="48" s="1"/>
  <c r="B38" i="75"/>
  <c r="A4" i="48" s="1"/>
  <c r="C4" i="48" s="1"/>
  <c r="D55" i="75"/>
  <c r="D28" i="75"/>
  <c r="D50" i="75"/>
  <c r="B21" i="75"/>
  <c r="A63" i="48" s="1"/>
  <c r="C63" i="48" s="1"/>
  <c r="B34" i="75"/>
  <c r="A16" i="48" s="1"/>
  <c r="C16" i="48" s="1"/>
  <c r="D9" i="75"/>
  <c r="B6" i="75"/>
  <c r="A12" i="48" s="1"/>
  <c r="C12" i="48" s="1"/>
  <c r="D15" i="75"/>
  <c r="B63" i="75"/>
  <c r="A41" i="48" s="1"/>
  <c r="C41" i="48" s="1"/>
  <c r="B29" i="75"/>
  <c r="A31" i="48" s="1"/>
  <c r="C31" i="48" s="1"/>
  <c r="D8" i="75"/>
  <c r="B36" i="75"/>
  <c r="A10" i="48" s="1"/>
  <c r="C10" i="48" s="1"/>
  <c r="D51" i="75"/>
  <c r="D66" i="75"/>
  <c r="D68" i="75"/>
  <c r="B4" i="75"/>
  <c r="A6" i="48" s="1"/>
  <c r="C6" i="48" s="1"/>
  <c r="B46" i="75"/>
  <c r="A26" i="48" s="1"/>
  <c r="C26" i="48" s="1"/>
  <c r="D40" i="75"/>
  <c r="B45" i="75"/>
  <c r="A23" i="48" s="1"/>
  <c r="C23" i="48" s="1"/>
  <c r="B26" i="75"/>
  <c r="A43" i="48" s="1"/>
  <c r="C43" i="48" s="1"/>
  <c r="D30" i="75"/>
  <c r="B24" i="75"/>
  <c r="A51" i="48" s="1"/>
  <c r="C51" i="48" s="1"/>
  <c r="D62" i="75"/>
  <c r="D22" i="75"/>
  <c r="D18" i="75"/>
  <c r="B47" i="75"/>
  <c r="A29" i="48" s="1"/>
  <c r="C29" i="48" s="1"/>
  <c r="D58" i="75"/>
  <c r="D52" i="75"/>
  <c r="B49" i="75"/>
  <c r="A36" i="48" s="1"/>
  <c r="C36" i="48" s="1"/>
  <c r="B59" i="75"/>
  <c r="A57" i="48" s="1"/>
  <c r="C57" i="48" s="1"/>
  <c r="D31" i="75"/>
  <c r="B55" i="75"/>
  <c r="A60" i="48" s="1"/>
  <c r="C60" i="48" s="1"/>
  <c r="B28" i="75"/>
  <c r="A35" i="48" s="1"/>
  <c r="C35" i="48" s="1"/>
  <c r="D19" i="75"/>
  <c r="D34" i="75"/>
  <c r="D13" i="75"/>
  <c r="D29" i="75"/>
  <c r="B8" i="75"/>
  <c r="A18" i="48" s="1"/>
  <c r="C18" i="48" s="1"/>
  <c r="D43" i="75"/>
  <c r="B69" i="75"/>
  <c r="A87" i="48" s="1"/>
  <c r="C87" i="48" s="1"/>
  <c r="B32" i="75"/>
  <c r="A22" i="48" s="1"/>
  <c r="C22" i="48" s="1"/>
  <c r="B35" i="75"/>
  <c r="A13" i="48" s="1"/>
  <c r="C13" i="48" s="1"/>
  <c r="D7" i="75"/>
  <c r="B68" i="75"/>
  <c r="A86" i="48" s="1"/>
  <c r="C86" i="48" s="1"/>
  <c r="D33" i="75"/>
  <c r="B40" i="75"/>
  <c r="A8" i="48" s="1"/>
  <c r="C8" i="48" s="1"/>
  <c r="B42" i="75"/>
  <c r="A14" i="48" s="1"/>
  <c r="C14" i="48" s="1"/>
  <c r="D16" i="75"/>
  <c r="D10" i="75"/>
  <c r="B70" i="75"/>
  <c r="A85" i="48" s="1"/>
  <c r="C85" i="48" s="1"/>
  <c r="D20" i="75"/>
  <c r="D44" i="75"/>
  <c r="B30" i="75"/>
  <c r="A28" i="48" s="1"/>
  <c r="C28" i="48" s="1"/>
  <c r="B62" i="75"/>
  <c r="A45" i="48" s="1"/>
  <c r="C45" i="48" s="1"/>
  <c r="D12" i="75"/>
  <c r="D41" i="75"/>
  <c r="B14" i="75"/>
  <c r="A38" i="48" s="1"/>
  <c r="C38" i="48" s="1"/>
  <c r="B11" i="75"/>
  <c r="A27" i="48" s="1"/>
  <c r="C27" i="48" s="1"/>
  <c r="D17" i="75"/>
  <c r="B52" i="75"/>
  <c r="A48" i="48" s="1"/>
  <c r="C48" i="48" s="1"/>
  <c r="D25" i="75"/>
  <c r="D49" i="75"/>
  <c r="D59" i="75"/>
  <c r="B19" i="75"/>
  <c r="A58" i="48" s="1"/>
  <c r="C58" i="48" s="1"/>
  <c r="B50" i="75"/>
  <c r="A40" i="48" s="1"/>
  <c r="C40" i="48" s="1"/>
  <c r="B67" i="75"/>
  <c r="A84" i="48" s="1"/>
  <c r="C84" i="48" s="1"/>
  <c r="D21" i="75"/>
  <c r="B9" i="75"/>
  <c r="A21" i="48" s="1"/>
  <c r="C21" i="48" s="1"/>
  <c r="D60" i="75"/>
  <c r="D5" i="75"/>
  <c r="B43" i="75"/>
  <c r="A17" i="48" s="1"/>
  <c r="C17" i="48" s="1"/>
  <c r="B23" i="75"/>
  <c r="A55" i="48" s="1"/>
  <c r="C55" i="48" s="1"/>
  <c r="D56" i="75"/>
  <c r="D64" i="75"/>
  <c r="B51" i="75"/>
  <c r="A44" i="48" s="1"/>
  <c r="C44" i="48" s="1"/>
  <c r="B64" i="75"/>
  <c r="A37" i="48" s="1"/>
  <c r="C37" i="48" s="1"/>
  <c r="D35" i="75"/>
  <c r="B56" i="75"/>
  <c r="A64" i="48" s="1"/>
  <c r="C64" i="48" s="1"/>
  <c r="B37" i="75"/>
  <c r="A7" i="48" s="1"/>
  <c r="C7" i="48" s="1"/>
  <c r="D39" i="75"/>
  <c r="B66" i="75"/>
  <c r="A82" i="48" s="1"/>
  <c r="C82" i="48" s="1"/>
  <c r="B7" i="75"/>
  <c r="A15" i="48" s="1"/>
  <c r="C15" i="48" s="1"/>
  <c r="D54" i="75"/>
  <c r="D65" i="75"/>
  <c r="B33" i="75"/>
  <c r="A19" i="48" s="1"/>
  <c r="C19" i="48" s="1"/>
  <c r="B3" i="75"/>
  <c r="A3" i="48" s="1"/>
  <c r="D45" i="75"/>
  <c r="B10" i="75"/>
  <c r="A24" i="48" s="1"/>
  <c r="C24" i="48" s="1"/>
  <c r="B20" i="75"/>
  <c r="A62" i="48" s="1"/>
  <c r="C62" i="48" s="1"/>
  <c r="D57" i="75"/>
  <c r="B44" i="75"/>
  <c r="A20" i="48" s="1"/>
  <c r="C20" i="48" s="1"/>
  <c r="B53" i="75"/>
  <c r="A52" i="48" s="1"/>
  <c r="C52" i="48" s="1"/>
  <c r="B12" i="75"/>
  <c r="A30" i="48" s="1"/>
  <c r="C30" i="48" s="1"/>
  <c r="B22" i="75"/>
  <c r="A59" i="48" s="1"/>
  <c r="C59" i="48" s="1"/>
  <c r="D14" i="75"/>
  <c r="B58" i="75"/>
  <c r="A61" i="48" s="1"/>
  <c r="C61" i="48" s="1"/>
  <c r="B25" i="75"/>
  <c r="A47" i="48" s="1"/>
  <c r="C47" i="48" s="1"/>
  <c r="D27" i="75"/>
  <c r="D48" i="75"/>
  <c r="B31" i="75"/>
  <c r="A25" i="48" s="1"/>
  <c r="C25" i="48" s="1"/>
  <c r="D38" i="75"/>
  <c r="D67" i="75"/>
  <c r="D6" i="75"/>
  <c r="B60" i="75"/>
  <c r="A53" i="48" s="1"/>
  <c r="C53" i="48" s="1"/>
  <c r="B13" i="75"/>
  <c r="A34" i="48" s="1"/>
  <c r="C34" i="48" s="1"/>
  <c r="B15" i="75"/>
  <c r="A42" i="48" s="1"/>
  <c r="C42" i="48" s="1"/>
  <c r="D63" i="75"/>
  <c r="D23" i="75"/>
  <c r="D61" i="75"/>
  <c r="D36" i="75"/>
  <c r="D37" i="75"/>
  <c r="B39" i="75"/>
  <c r="A5" i="48" s="1"/>
  <c r="C5" i="48" s="1"/>
  <c r="B5" i="75"/>
  <c r="A9" i="48" s="1"/>
  <c r="C9" i="48" s="1"/>
  <c r="B61" i="75"/>
  <c r="A49" i="48" s="1"/>
  <c r="C49" i="48" s="1"/>
  <c r="D69" i="75"/>
  <c r="D32" i="75"/>
  <c r="F2" i="115"/>
  <c r="F3" i="115" s="1"/>
  <c r="A3" i="115" s="1"/>
  <c r="G2" i="115"/>
  <c r="F9" i="115"/>
  <c r="A9" i="115" s="1"/>
  <c r="F16" i="115"/>
  <c r="A16" i="115" s="1"/>
  <c r="F54" i="115" l="1"/>
  <c r="A54" i="115" s="1"/>
  <c r="F66" i="115"/>
  <c r="A66" i="115" s="1"/>
  <c r="F27" i="115"/>
  <c r="A27" i="115" s="1"/>
  <c r="BH27" i="115" s="1"/>
  <c r="F35" i="115"/>
  <c r="A35" i="115" s="1"/>
  <c r="F45" i="115"/>
  <c r="A45" i="115" s="1"/>
  <c r="F44" i="115"/>
  <c r="A44" i="115" s="1"/>
  <c r="B5" i="103"/>
  <c r="E9" i="103" s="1"/>
  <c r="B6" i="86"/>
  <c r="E8" i="86" s="1"/>
  <c r="B4" i="98"/>
  <c r="B9" i="98" s="1"/>
  <c r="B117" i="15" s="1"/>
  <c r="B3" i="89"/>
  <c r="B3" i="105"/>
  <c r="B3" i="7"/>
  <c r="B4" i="89"/>
  <c r="B9" i="89" s="1"/>
  <c r="B171" i="15" s="1"/>
  <c r="B5" i="93"/>
  <c r="E9" i="93" s="1"/>
  <c r="B6" i="1"/>
  <c r="E8" i="1" s="1"/>
  <c r="B5" i="6"/>
  <c r="E9" i="6" s="1"/>
  <c r="B4" i="99"/>
  <c r="B9" i="99" s="1"/>
  <c r="B6" i="87"/>
  <c r="E8" i="87" s="1"/>
  <c r="C9" i="84"/>
  <c r="B5" i="100"/>
  <c r="E9" i="100" s="1"/>
  <c r="B3" i="104"/>
  <c r="B5" i="106"/>
  <c r="E9" i="106" s="1"/>
  <c r="B3" i="10"/>
  <c r="B6" i="95"/>
  <c r="E8" i="95" s="1"/>
  <c r="B3" i="94"/>
  <c r="B3" i="9"/>
  <c r="B6" i="90"/>
  <c r="E8" i="90" s="1"/>
  <c r="B5" i="87"/>
  <c r="E9" i="87" s="1"/>
  <c r="B3" i="85"/>
  <c r="B4" i="4"/>
  <c r="B9" i="4" s="1"/>
  <c r="B6" i="94"/>
  <c r="E8" i="94" s="1"/>
  <c r="B3" i="102"/>
  <c r="B5" i="86"/>
  <c r="E9" i="86" s="1"/>
  <c r="B3" i="103"/>
  <c r="B6" i="92"/>
  <c r="E8" i="92" s="1"/>
  <c r="B3" i="107"/>
  <c r="B6" i="7"/>
  <c r="E8" i="7" s="1"/>
  <c r="B5" i="91"/>
  <c r="E9" i="91" s="1"/>
  <c r="B4" i="108"/>
  <c r="B9" i="108" s="1"/>
  <c r="B5" i="5"/>
  <c r="E9" i="5" s="1"/>
  <c r="B4" i="100"/>
  <c r="B9" i="100" s="1"/>
  <c r="B4" i="10"/>
  <c r="B9" i="10" s="1"/>
  <c r="B5" i="90"/>
  <c r="E9" i="90" s="1"/>
  <c r="C5" i="84"/>
  <c r="B4" i="85"/>
  <c r="B9" i="85" s="1"/>
  <c r="B195" i="15" s="1"/>
  <c r="B5" i="98"/>
  <c r="E9" i="98" s="1"/>
  <c r="B3" i="86"/>
  <c r="B5" i="96"/>
  <c r="E9" i="96" s="1"/>
  <c r="B6" i="5"/>
  <c r="E8" i="5" s="1"/>
  <c r="B4" i="97"/>
  <c r="B9" i="97" s="1"/>
  <c r="B123" i="15" s="1"/>
  <c r="B3" i="100"/>
  <c r="B5" i="105"/>
  <c r="E9" i="105" s="1"/>
  <c r="B5" i="108"/>
  <c r="E9" i="108" s="1"/>
  <c r="B3" i="4"/>
  <c r="C8" i="124"/>
  <c r="B3" i="87"/>
  <c r="B4" i="107"/>
  <c r="B9" i="107" s="1"/>
  <c r="B6" i="99"/>
  <c r="E8" i="99" s="1"/>
  <c r="B6" i="101"/>
  <c r="E8" i="101" s="1"/>
  <c r="B5" i="107"/>
  <c r="E9" i="107" s="1"/>
  <c r="B5" i="1"/>
  <c r="E9" i="1" s="1"/>
  <c r="C3" i="48"/>
  <c r="B6" i="106"/>
  <c r="E8" i="106" s="1"/>
  <c r="B3" i="93"/>
  <c r="B6" i="8"/>
  <c r="E8" i="8" s="1"/>
  <c r="B5" i="8"/>
  <c r="E9" i="8" s="1"/>
  <c r="B4" i="88"/>
  <c r="B9" i="88" s="1"/>
  <c r="B177" i="15" s="1"/>
  <c r="B6" i="6"/>
  <c r="E8" i="6" s="1"/>
  <c r="B3" i="91"/>
  <c r="B5" i="9"/>
  <c r="E9" i="9" s="1"/>
  <c r="B5" i="94"/>
  <c r="E9" i="94" s="1"/>
  <c r="B6" i="10"/>
  <c r="E8" i="10" s="1"/>
  <c r="B6" i="98"/>
  <c r="E8" i="98" s="1"/>
  <c r="B4" i="102"/>
  <c r="B9" i="102" s="1"/>
  <c r="B6" i="85"/>
  <c r="E8" i="85" s="1"/>
  <c r="B3" i="95"/>
  <c r="B4" i="8"/>
  <c r="B9" i="8" s="1"/>
  <c r="B6" i="105"/>
  <c r="E8" i="105" s="1"/>
  <c r="B3" i="5"/>
  <c r="B6" i="102"/>
  <c r="E8" i="102" s="1"/>
  <c r="B6" i="9"/>
  <c r="E8" i="9" s="1"/>
  <c r="B6" i="108"/>
  <c r="E8" i="108" s="1"/>
  <c r="B4" i="103"/>
  <c r="B9" i="103" s="1"/>
  <c r="B5" i="88"/>
  <c r="E9" i="88" s="1"/>
  <c r="B6" i="107"/>
  <c r="E8" i="107" s="1"/>
  <c r="B3" i="6"/>
  <c r="B4" i="7"/>
  <c r="B9" i="7" s="1"/>
  <c r="B4" i="101"/>
  <c r="B9" i="101" s="1"/>
  <c r="B4" i="96"/>
  <c r="B9" i="96" s="1"/>
  <c r="B129" i="15" s="1"/>
  <c r="C5" i="124"/>
  <c r="B4" i="87"/>
  <c r="B9" i="87" s="1"/>
  <c r="B183" i="15" s="1"/>
  <c r="B5" i="97"/>
  <c r="E9" i="97" s="1"/>
  <c r="B4" i="95"/>
  <c r="B9" i="95" s="1"/>
  <c r="B135" i="15" s="1"/>
  <c r="B5" i="99"/>
  <c r="E9" i="99" s="1"/>
  <c r="B4" i="92"/>
  <c r="B9" i="92" s="1"/>
  <c r="B153" i="15" s="1"/>
  <c r="B6" i="91"/>
  <c r="E8" i="91" s="1"/>
  <c r="B6" i="93"/>
  <c r="E8" i="93" s="1"/>
  <c r="B6" i="100"/>
  <c r="E8" i="100" s="1"/>
  <c r="B4" i="9"/>
  <c r="B9" i="9" s="1"/>
  <c r="B5" i="102"/>
  <c r="E9" i="102" s="1"/>
  <c r="B5" i="101"/>
  <c r="E9" i="101" s="1"/>
  <c r="B3" i="106"/>
  <c r="B3" i="90"/>
  <c r="B5" i="7"/>
  <c r="E9" i="7" s="1"/>
  <c r="B4" i="6"/>
  <c r="B9" i="6" s="1"/>
  <c r="B4" i="5"/>
  <c r="B9" i="5" s="1"/>
  <c r="B5" i="85"/>
  <c r="E9" i="85" s="1"/>
  <c r="B6" i="104"/>
  <c r="E8" i="104" s="1"/>
  <c r="B3" i="1"/>
  <c r="B5" i="4"/>
  <c r="E9" i="4" s="1"/>
  <c r="B6" i="89"/>
  <c r="E8" i="89" s="1"/>
  <c r="B4" i="105"/>
  <c r="B9" i="105" s="1"/>
  <c r="B5" i="89"/>
  <c r="E9" i="89" s="1"/>
  <c r="C9" i="124"/>
  <c r="B4" i="91"/>
  <c r="B9" i="91" s="1"/>
  <c r="B159" i="15" s="1"/>
  <c r="B3" i="92"/>
  <c r="B5" i="104"/>
  <c r="E9" i="104" s="1"/>
  <c r="B3" i="98"/>
  <c r="B5" i="10"/>
  <c r="E9" i="10" s="1"/>
  <c r="B4" i="106"/>
  <c r="B9" i="106" s="1"/>
  <c r="B4" i="90"/>
  <c r="B9" i="90" s="1"/>
  <c r="B165" i="15" s="1"/>
  <c r="C8" i="84"/>
  <c r="C4" i="124"/>
  <c r="B4" i="104"/>
  <c r="B9" i="104" s="1"/>
  <c r="B5" i="95"/>
  <c r="E9" i="95" s="1"/>
  <c r="B4" i="94"/>
  <c r="B9" i="94" s="1"/>
  <c r="B141" i="15" s="1"/>
  <c r="B4" i="1"/>
  <c r="B9" i="1" s="1"/>
  <c r="B5" i="92"/>
  <c r="E9" i="92" s="1"/>
  <c r="B6" i="97"/>
  <c r="E8" i="97" s="1"/>
  <c r="B3" i="101"/>
  <c r="B4" i="93"/>
  <c r="B9" i="93" s="1"/>
  <c r="B147" i="15" s="1"/>
  <c r="B4" i="86"/>
  <c r="B9" i="86" s="1"/>
  <c r="B189" i="15" s="1"/>
  <c r="B3" i="97"/>
  <c r="B3" i="99"/>
  <c r="B3" i="8"/>
  <c r="B3" i="96"/>
  <c r="C4" i="84"/>
  <c r="B3" i="88"/>
  <c r="B6" i="4"/>
  <c r="E8" i="4" s="1"/>
  <c r="B6" i="96"/>
  <c r="E8" i="96" s="1"/>
  <c r="B6" i="88"/>
  <c r="E8" i="88" s="1"/>
  <c r="B3" i="108"/>
  <c r="B6" i="103"/>
  <c r="E8" i="103" s="1"/>
  <c r="F31" i="115"/>
  <c r="A31" i="115" s="1"/>
  <c r="BH31" i="115" s="1"/>
  <c r="F50" i="115"/>
  <c r="A50" i="115" s="1"/>
  <c r="F49" i="115"/>
  <c r="A49" i="115" s="1"/>
  <c r="F33" i="115"/>
  <c r="A33" i="115" s="1"/>
  <c r="BH33" i="115" s="1"/>
  <c r="F22" i="115"/>
  <c r="A22" i="115" s="1"/>
  <c r="BH22" i="115" s="1"/>
  <c r="F43" i="115"/>
  <c r="A43" i="115" s="1"/>
  <c r="F52" i="115"/>
  <c r="A52" i="115" s="1"/>
  <c r="F5" i="115"/>
  <c r="A5" i="115" s="1"/>
  <c r="BN5" i="115" s="1"/>
  <c r="F60" i="115"/>
  <c r="A60" i="115" s="1"/>
  <c r="F37" i="115"/>
  <c r="A37" i="115" s="1"/>
  <c r="F19" i="115"/>
  <c r="A19" i="115" s="1"/>
  <c r="BH19" i="115" s="1"/>
  <c r="F53" i="115"/>
  <c r="A53" i="115" s="1"/>
  <c r="F40" i="115"/>
  <c r="A40" i="115" s="1"/>
  <c r="F34" i="115"/>
  <c r="A34" i="115" s="1"/>
  <c r="BH34" i="115" s="1"/>
  <c r="F63" i="115"/>
  <c r="A63" i="115" s="1"/>
  <c r="F61" i="115"/>
  <c r="A61" i="115" s="1"/>
  <c r="F56" i="115"/>
  <c r="A56" i="115" s="1"/>
  <c r="F46" i="115"/>
  <c r="A46" i="115" s="1"/>
  <c r="BN3" i="115"/>
  <c r="BH3" i="115"/>
  <c r="BJ3" i="115"/>
  <c r="BQ3" i="115"/>
  <c r="BP3" i="115"/>
  <c r="BL3" i="115"/>
  <c r="F59" i="115"/>
  <c r="A59" i="115" s="1"/>
  <c r="F13" i="115"/>
  <c r="A13" i="115" s="1"/>
  <c r="F58" i="115"/>
  <c r="A58" i="115" s="1"/>
  <c r="F15" i="115"/>
  <c r="A15" i="115" s="1"/>
  <c r="F10" i="115"/>
  <c r="A10" i="115" s="1"/>
  <c r="F6" i="115"/>
  <c r="A6" i="115" s="1"/>
  <c r="F24" i="115"/>
  <c r="A24" i="115" s="1"/>
  <c r="BH24" i="115" s="1"/>
  <c r="F4" i="115"/>
  <c r="A4" i="115" s="1"/>
  <c r="F55" i="115"/>
  <c r="A55" i="115" s="1"/>
  <c r="F42" i="115"/>
  <c r="A42" i="115" s="1"/>
  <c r="F30" i="115"/>
  <c r="A30" i="115" s="1"/>
  <c r="BH30" i="115" s="1"/>
  <c r="F7" i="115"/>
  <c r="A7" i="115" s="1"/>
  <c r="F23" i="115"/>
  <c r="A23" i="115" s="1"/>
  <c r="BH23" i="115" s="1"/>
  <c r="F26" i="115"/>
  <c r="A26" i="115" s="1"/>
  <c r="BH26" i="115" s="1"/>
  <c r="F20" i="115"/>
  <c r="A20" i="115" s="1"/>
  <c r="BH20" i="115" s="1"/>
  <c r="F12" i="115"/>
  <c r="A12" i="115" s="1"/>
  <c r="BH16" i="115"/>
  <c r="BJ16" i="115"/>
  <c r="BJ9" i="115"/>
  <c r="BH9" i="115"/>
  <c r="BL9" i="115"/>
  <c r="F25" i="115"/>
  <c r="A25" i="115" s="1"/>
  <c r="BH25" i="115" s="1"/>
  <c r="F28" i="115"/>
  <c r="A28" i="115" s="1"/>
  <c r="BH28" i="115" s="1"/>
  <c r="F62" i="115"/>
  <c r="A62" i="115" s="1"/>
  <c r="F11" i="115"/>
  <c r="A11" i="115" s="1"/>
  <c r="F47" i="115"/>
  <c r="A47" i="115" s="1"/>
  <c r="C46" i="115"/>
  <c r="C47" i="115"/>
  <c r="B48" i="115"/>
  <c r="B42" i="115"/>
  <c r="C12" i="115"/>
  <c r="C41" i="115"/>
  <c r="C43" i="115"/>
  <c r="B61" i="115"/>
  <c r="C29" i="115"/>
  <c r="C7" i="115"/>
  <c r="C28" i="115"/>
  <c r="B39" i="115"/>
  <c r="C16" i="115"/>
  <c r="C26" i="115"/>
  <c r="C66" i="115"/>
  <c r="C27" i="115"/>
  <c r="C56" i="115"/>
  <c r="C35" i="115"/>
  <c r="B44" i="115"/>
  <c r="B56" i="115"/>
  <c r="B66" i="115"/>
  <c r="C32" i="115"/>
  <c r="C55" i="115"/>
  <c r="B51" i="115"/>
  <c r="C50" i="115"/>
  <c r="C58" i="115"/>
  <c r="C40" i="115"/>
  <c r="C63" i="115"/>
  <c r="C10" i="115"/>
  <c r="B60" i="115"/>
  <c r="C31" i="115"/>
  <c r="B53" i="115"/>
  <c r="C42" i="115"/>
  <c r="C14" i="115"/>
  <c r="C20" i="115"/>
  <c r="C15" i="115"/>
  <c r="C57" i="115"/>
  <c r="C36" i="115"/>
  <c r="B57" i="115"/>
  <c r="C44" i="115"/>
  <c r="B55" i="115"/>
  <c r="B40" i="115"/>
  <c r="C30" i="115"/>
  <c r="B52" i="115"/>
  <c r="B59" i="115"/>
  <c r="B58" i="115"/>
  <c r="B45" i="115"/>
  <c r="C5" i="115"/>
  <c r="B64" i="115"/>
  <c r="C3" i="115"/>
  <c r="C23" i="115"/>
  <c r="C61" i="115"/>
  <c r="B65" i="115"/>
  <c r="C18" i="115"/>
  <c r="B63" i="115"/>
  <c r="C25" i="115"/>
  <c r="C59" i="115"/>
  <c r="C62" i="115"/>
  <c r="B54" i="115"/>
  <c r="C13" i="115"/>
  <c r="C9" i="115"/>
  <c r="B46" i="115"/>
  <c r="C21" i="115"/>
  <c r="C33" i="115"/>
  <c r="C8" i="115"/>
  <c r="B50" i="115"/>
  <c r="B43" i="115"/>
  <c r="C11" i="115"/>
  <c r="C48" i="115"/>
  <c r="B47" i="115"/>
  <c r="C24" i="115"/>
  <c r="C45" i="115"/>
  <c r="C51" i="115"/>
  <c r="C34" i="115"/>
  <c r="C4" i="115"/>
  <c r="B62" i="115"/>
  <c r="C53" i="115"/>
  <c r="C39" i="115"/>
  <c r="C22" i="115"/>
  <c r="C54" i="115"/>
  <c r="C37" i="115"/>
  <c r="C64" i="115"/>
  <c r="C19" i="115"/>
  <c r="B49" i="115"/>
  <c r="C65" i="115"/>
  <c r="C52" i="115"/>
  <c r="C60" i="115"/>
  <c r="C49" i="115"/>
  <c r="C38" i="115"/>
  <c r="C17" i="115"/>
  <c r="C6" i="115"/>
  <c r="B41" i="115"/>
  <c r="F21" i="115"/>
  <c r="A21" i="115" s="1"/>
  <c r="BH21" i="115" s="1"/>
  <c r="F32" i="115"/>
  <c r="A32" i="115" s="1"/>
  <c r="BH32" i="115" s="1"/>
  <c r="F65" i="115"/>
  <c r="A65" i="115" s="1"/>
  <c r="F17" i="115"/>
  <c r="A17" i="115" s="1"/>
  <c r="F41" i="115"/>
  <c r="A41" i="115" s="1"/>
  <c r="F51" i="115"/>
  <c r="A51" i="115" s="1"/>
  <c r="F38" i="115"/>
  <c r="A38" i="115" s="1"/>
  <c r="F8" i="115"/>
  <c r="A8" i="115" s="1"/>
  <c r="F29" i="115"/>
  <c r="A29" i="115" s="1"/>
  <c r="BH29" i="115" s="1"/>
  <c r="F18" i="115"/>
  <c r="A18" i="115" s="1"/>
  <c r="F48" i="115"/>
  <c r="A48" i="115" s="1"/>
  <c r="F39" i="115"/>
  <c r="A39" i="115" s="1"/>
  <c r="F14" i="115"/>
  <c r="A14" i="115" s="1"/>
  <c r="F57" i="115"/>
  <c r="A57" i="115" s="1"/>
  <c r="F36" i="115"/>
  <c r="A36" i="115" s="1"/>
  <c r="F64" i="115"/>
  <c r="A64" i="115" s="1"/>
  <c r="B51" i="15" l="1"/>
  <c r="E10" i="10"/>
  <c r="B9" i="15"/>
  <c r="E10" i="1"/>
  <c r="B39" i="15"/>
  <c r="E10" i="8"/>
  <c r="B57" i="15"/>
  <c r="E10" i="108"/>
  <c r="B69" i="15"/>
  <c r="E10" i="106"/>
  <c r="B81" i="15"/>
  <c r="E10" i="104"/>
  <c r="B15" i="15"/>
  <c r="E10" i="4"/>
  <c r="B27" i="15"/>
  <c r="E10" i="6"/>
  <c r="B93" i="15"/>
  <c r="E10" i="102"/>
  <c r="B75" i="15"/>
  <c r="E10" i="105"/>
  <c r="B45" i="15"/>
  <c r="E10" i="9"/>
  <c r="B105" i="15"/>
  <c r="E10" i="100"/>
  <c r="B99" i="15"/>
  <c r="E10" i="101"/>
  <c r="B21" i="15"/>
  <c r="E10" i="5"/>
  <c r="B111" i="15"/>
  <c r="E10" i="99"/>
  <c r="B63" i="15"/>
  <c r="E10" i="107"/>
  <c r="B87" i="15"/>
  <c r="E10" i="103"/>
  <c r="B33" i="15"/>
  <c r="E10" i="7"/>
  <c r="BR5" i="115"/>
  <c r="BH5" i="115"/>
  <c r="BJ5" i="115"/>
  <c r="BP5" i="115"/>
  <c r="BL5" i="115"/>
  <c r="B11" i="103"/>
  <c r="D86" i="15"/>
  <c r="K86" i="15" s="1"/>
  <c r="B11" i="4"/>
  <c r="B17" i="4" s="1"/>
  <c r="D10" i="50" s="1"/>
  <c r="D14" i="15"/>
  <c r="K14" i="15" s="1"/>
  <c r="B8" i="8"/>
  <c r="B38" i="15" s="1"/>
  <c r="L1" i="8"/>
  <c r="L1" i="124"/>
  <c r="L2" i="124" s="1"/>
  <c r="G12" i="124"/>
  <c r="G6" i="124"/>
  <c r="D51" i="15"/>
  <c r="K51" i="15" s="1"/>
  <c r="E11" i="10"/>
  <c r="B11" i="89"/>
  <c r="D170" i="15"/>
  <c r="K170" i="15" s="1"/>
  <c r="E11" i="85"/>
  <c r="D197" i="15" s="1"/>
  <c r="K197" i="15" s="1"/>
  <c r="D195" i="15"/>
  <c r="K195" i="15" s="1"/>
  <c r="B8" i="90"/>
  <c r="B164" i="15" s="1"/>
  <c r="L1" i="90"/>
  <c r="B8" i="5"/>
  <c r="B20" i="15" s="1"/>
  <c r="L1" i="5"/>
  <c r="B11" i="85"/>
  <c r="D194" i="15"/>
  <c r="K194" i="15" s="1"/>
  <c r="D141" i="15"/>
  <c r="K141" i="15" s="1"/>
  <c r="E11" i="94"/>
  <c r="D143" i="15" s="1"/>
  <c r="K143" i="15" s="1"/>
  <c r="D68" i="15"/>
  <c r="K68" i="15" s="1"/>
  <c r="B11" i="101"/>
  <c r="D98" i="15"/>
  <c r="K98" i="15" s="1"/>
  <c r="G13" i="124"/>
  <c r="G7" i="124"/>
  <c r="L1" i="100"/>
  <c r="B8" i="100"/>
  <c r="B104" i="15" s="1"/>
  <c r="B8" i="86"/>
  <c r="B188" i="15" s="1"/>
  <c r="L1" i="86"/>
  <c r="E11" i="90"/>
  <c r="D167" i="15" s="1"/>
  <c r="K167" i="15" s="1"/>
  <c r="D165" i="15"/>
  <c r="K165" i="15" s="1"/>
  <c r="D152" i="15"/>
  <c r="K152" i="15" s="1"/>
  <c r="B11" i="92"/>
  <c r="B11" i="94"/>
  <c r="D140" i="15"/>
  <c r="K140" i="15" s="1"/>
  <c r="B11" i="90"/>
  <c r="D164" i="15"/>
  <c r="K164" i="15" s="1"/>
  <c r="L1" i="10"/>
  <c r="B8" i="10"/>
  <c r="B50" i="15" s="1"/>
  <c r="D8" i="15"/>
  <c r="K8" i="15" s="1"/>
  <c r="B11" i="1"/>
  <c r="L1" i="105"/>
  <c r="B8" i="105"/>
  <c r="B74" i="15" s="1"/>
  <c r="E11" i="103"/>
  <c r="D87" i="15"/>
  <c r="K87" i="15" s="1"/>
  <c r="D128" i="15"/>
  <c r="K128" i="15" s="1"/>
  <c r="B11" i="96"/>
  <c r="B8" i="96"/>
  <c r="B128" i="15" s="1"/>
  <c r="L1" i="96"/>
  <c r="D153" i="15"/>
  <c r="K153" i="15" s="1"/>
  <c r="E11" i="92"/>
  <c r="D155" i="15" s="1"/>
  <c r="K155" i="15" s="1"/>
  <c r="B8" i="92"/>
  <c r="B152" i="15" s="1"/>
  <c r="L1" i="92"/>
  <c r="D80" i="15"/>
  <c r="K80" i="15" s="1"/>
  <c r="B11" i="104"/>
  <c r="D33" i="15"/>
  <c r="K33" i="15" s="1"/>
  <c r="E11" i="7"/>
  <c r="E11" i="102"/>
  <c r="D93" i="15"/>
  <c r="K93" i="15" s="1"/>
  <c r="D158" i="15"/>
  <c r="K158" i="15" s="1"/>
  <c r="B11" i="91"/>
  <c r="E11" i="97"/>
  <c r="D125" i="15" s="1"/>
  <c r="K125" i="15" s="1"/>
  <c r="D123" i="15"/>
  <c r="K123" i="15" s="1"/>
  <c r="D177" i="15"/>
  <c r="K177" i="15" s="1"/>
  <c r="E11" i="88"/>
  <c r="D179" i="15" s="1"/>
  <c r="K179" i="15" s="1"/>
  <c r="B11" i="102"/>
  <c r="D92" i="15"/>
  <c r="K92" i="15" s="1"/>
  <c r="B8" i="95"/>
  <c r="B134" i="15" s="1"/>
  <c r="L1" i="95"/>
  <c r="B11" i="10"/>
  <c r="D50" i="15"/>
  <c r="K50" i="15" s="1"/>
  <c r="D26" i="15"/>
  <c r="K26" i="15" s="1"/>
  <c r="B11" i="6"/>
  <c r="B17" i="6" s="1"/>
  <c r="D18" i="50" s="1"/>
  <c r="B8" i="93"/>
  <c r="B146" i="15" s="1"/>
  <c r="L1" i="93"/>
  <c r="D63" i="15"/>
  <c r="K63" i="15" s="1"/>
  <c r="E11" i="107"/>
  <c r="B8" i="87"/>
  <c r="B182" i="15" s="1"/>
  <c r="L1" i="87"/>
  <c r="D75" i="15"/>
  <c r="K75" i="15" s="1"/>
  <c r="E11" i="105"/>
  <c r="D129" i="15"/>
  <c r="K129" i="15" s="1"/>
  <c r="E11" i="96"/>
  <c r="D131" i="15" s="1"/>
  <c r="K131" i="15" s="1"/>
  <c r="E11" i="5"/>
  <c r="D21" i="15"/>
  <c r="K21" i="15" s="1"/>
  <c r="L1" i="107"/>
  <c r="B8" i="107"/>
  <c r="B62" i="15" s="1"/>
  <c r="B8" i="102"/>
  <c r="B92" i="15" s="1"/>
  <c r="L1" i="102"/>
  <c r="E11" i="87"/>
  <c r="D185" i="15" s="1"/>
  <c r="K185" i="15" s="1"/>
  <c r="D183" i="15"/>
  <c r="K183" i="15" s="1"/>
  <c r="D134" i="15"/>
  <c r="K134" i="15" s="1"/>
  <c r="B11" i="95"/>
  <c r="D105" i="15"/>
  <c r="K105" i="15" s="1"/>
  <c r="E11" i="100"/>
  <c r="E11" i="6"/>
  <c r="D29" i="15" s="1"/>
  <c r="K29" i="15" s="1"/>
  <c r="D27" i="15"/>
  <c r="K27" i="15" s="1"/>
  <c r="B8" i="7"/>
  <c r="B32" i="15" s="1"/>
  <c r="L1" i="7"/>
  <c r="B11" i="86"/>
  <c r="D188" i="15"/>
  <c r="K188" i="15" s="1"/>
  <c r="B11" i="88"/>
  <c r="D176" i="15"/>
  <c r="K176" i="15" s="1"/>
  <c r="L1" i="84"/>
  <c r="L2" i="84" s="1"/>
  <c r="G6" i="84"/>
  <c r="G12" i="84"/>
  <c r="B8" i="97"/>
  <c r="B122" i="15" s="1"/>
  <c r="L1" i="97"/>
  <c r="D122" i="15"/>
  <c r="K122" i="15" s="1"/>
  <c r="B11" i="97"/>
  <c r="B10" i="97"/>
  <c r="B124" i="15" s="1"/>
  <c r="D135" i="15"/>
  <c r="K135" i="15" s="1"/>
  <c r="E11" i="95"/>
  <c r="D137" i="15" s="1"/>
  <c r="K137" i="15" s="1"/>
  <c r="E11" i="104"/>
  <c r="D81" i="15"/>
  <c r="K81" i="15" s="1"/>
  <c r="E11" i="89"/>
  <c r="D173" i="15" s="1"/>
  <c r="K173" i="15" s="1"/>
  <c r="D171" i="15"/>
  <c r="K171" i="15" s="1"/>
  <c r="L1" i="1"/>
  <c r="B8" i="1"/>
  <c r="B8" i="15" s="1"/>
  <c r="E11" i="101"/>
  <c r="D99" i="15"/>
  <c r="K99" i="15" s="1"/>
  <c r="B11" i="93"/>
  <c r="D146" i="15"/>
  <c r="K146" i="15" s="1"/>
  <c r="B11" i="107"/>
  <c r="D62" i="15"/>
  <c r="K62" i="15" s="1"/>
  <c r="D44" i="15"/>
  <c r="K44" i="15" s="1"/>
  <c r="B11" i="9"/>
  <c r="D116" i="15"/>
  <c r="K116" i="15" s="1"/>
  <c r="B11" i="98"/>
  <c r="L1" i="91"/>
  <c r="B8" i="91"/>
  <c r="B158" i="15" s="1"/>
  <c r="D38" i="15"/>
  <c r="K38" i="15" s="1"/>
  <c r="B11" i="8"/>
  <c r="B10" i="8"/>
  <c r="E11" i="1"/>
  <c r="D9" i="15"/>
  <c r="K9" i="15" s="1"/>
  <c r="D57" i="15"/>
  <c r="K57" i="15" s="1"/>
  <c r="E11" i="108"/>
  <c r="D20" i="15"/>
  <c r="K20" i="15" s="1"/>
  <c r="B11" i="5"/>
  <c r="B11" i="7"/>
  <c r="D32" i="15"/>
  <c r="K32" i="15" s="1"/>
  <c r="E11" i="86"/>
  <c r="D191" i="15" s="1"/>
  <c r="K191" i="15" s="1"/>
  <c r="D189" i="15"/>
  <c r="K189" i="15" s="1"/>
  <c r="L1" i="85"/>
  <c r="B8" i="85"/>
  <c r="B194" i="15" s="1"/>
  <c r="L1" i="94"/>
  <c r="B8" i="94"/>
  <c r="B140" i="15" s="1"/>
  <c r="L1" i="104"/>
  <c r="B8" i="104"/>
  <c r="B80" i="15" s="1"/>
  <c r="B8" i="108"/>
  <c r="B56" i="15" s="1"/>
  <c r="L1" i="108"/>
  <c r="L1" i="88"/>
  <c r="B8" i="88"/>
  <c r="B176" i="15" s="1"/>
  <c r="L1" i="99"/>
  <c r="B8" i="99"/>
  <c r="B110" i="15" s="1"/>
  <c r="B8" i="101"/>
  <c r="B98" i="15" s="1"/>
  <c r="L1" i="101"/>
  <c r="G7" i="84"/>
  <c r="G13" i="84"/>
  <c r="L1" i="98"/>
  <c r="B8" i="98"/>
  <c r="B116" i="15" s="1"/>
  <c r="E11" i="4"/>
  <c r="D17" i="15" s="1"/>
  <c r="K17" i="15" s="1"/>
  <c r="D15" i="15"/>
  <c r="K15" i="15" s="1"/>
  <c r="B8" i="106"/>
  <c r="B68" i="15" s="1"/>
  <c r="L1" i="106"/>
  <c r="D104" i="15"/>
  <c r="K104" i="15" s="1"/>
  <c r="B11" i="100"/>
  <c r="E11" i="99"/>
  <c r="D111" i="15"/>
  <c r="K111" i="15" s="1"/>
  <c r="B8" i="6"/>
  <c r="B26" i="15" s="1"/>
  <c r="L1" i="6"/>
  <c r="B11" i="108"/>
  <c r="D56" i="15"/>
  <c r="K56" i="15" s="1"/>
  <c r="B11" i="105"/>
  <c r="D74" i="15"/>
  <c r="K74" i="15" s="1"/>
  <c r="E11" i="9"/>
  <c r="D45" i="15"/>
  <c r="K45" i="15" s="1"/>
  <c r="D39" i="15"/>
  <c r="K39" i="15" s="1"/>
  <c r="E11" i="8"/>
  <c r="D110" i="15"/>
  <c r="K110" i="15" s="1"/>
  <c r="B10" i="99"/>
  <c r="B8" i="4"/>
  <c r="B14" i="15" s="1"/>
  <c r="L1" i="4"/>
  <c r="D117" i="15"/>
  <c r="K117" i="15" s="1"/>
  <c r="E11" i="98"/>
  <c r="D119" i="15" s="1"/>
  <c r="K119" i="15" s="1"/>
  <c r="D159" i="15"/>
  <c r="K159" i="15" s="1"/>
  <c r="E11" i="91"/>
  <c r="D161" i="15" s="1"/>
  <c r="K161" i="15" s="1"/>
  <c r="B8" i="103"/>
  <c r="B86" i="15" s="1"/>
  <c r="L1" i="103"/>
  <c r="B8" i="9"/>
  <c r="B44" i="15" s="1"/>
  <c r="L1" i="9"/>
  <c r="D69" i="15"/>
  <c r="K69" i="15" s="1"/>
  <c r="E11" i="106"/>
  <c r="B11" i="87"/>
  <c r="D182" i="15"/>
  <c r="K182" i="15" s="1"/>
  <c r="D147" i="15"/>
  <c r="K147" i="15" s="1"/>
  <c r="E11" i="93"/>
  <c r="D149" i="15" s="1"/>
  <c r="K149" i="15" s="1"/>
  <c r="L1" i="89"/>
  <c r="B8" i="89"/>
  <c r="B170" i="15" s="1"/>
  <c r="E29" i="109"/>
  <c r="BH12" i="115"/>
  <c r="BJ12" i="115"/>
  <c r="BJ7" i="115"/>
  <c r="I22" i="109" s="1"/>
  <c r="BL7" i="115"/>
  <c r="BH7" i="115"/>
  <c r="BJ4" i="115"/>
  <c r="I63" i="109" s="1"/>
  <c r="BN4" i="115"/>
  <c r="Q51" i="109" s="1"/>
  <c r="BL4" i="115"/>
  <c r="M59" i="109" s="1"/>
  <c r="BQ4" i="115"/>
  <c r="BP4" i="115"/>
  <c r="U35" i="109" s="1"/>
  <c r="BH4" i="115"/>
  <c r="E65" i="109" s="1"/>
  <c r="BJ15" i="115"/>
  <c r="I39" i="109" s="1"/>
  <c r="BH15" i="115"/>
  <c r="E41" i="109" s="1"/>
  <c r="E13" i="109"/>
  <c r="A129" i="120"/>
  <c r="A20" i="120"/>
  <c r="A85" i="120"/>
  <c r="A32" i="109"/>
  <c r="A24" i="120"/>
  <c r="A17" i="56"/>
  <c r="A65" i="120"/>
  <c r="A13" i="110"/>
  <c r="D69" i="120"/>
  <c r="A37" i="109"/>
  <c r="A9" i="119"/>
  <c r="A5" i="56"/>
  <c r="A97" i="120"/>
  <c r="A100" i="120"/>
  <c r="A28" i="120"/>
  <c r="A48" i="109"/>
  <c r="A13" i="120"/>
  <c r="A84" i="120"/>
  <c r="A88" i="120"/>
  <c r="A8" i="56"/>
  <c r="A9" i="110"/>
  <c r="A104" i="120"/>
  <c r="A37" i="120"/>
  <c r="A21" i="120"/>
  <c r="A121" i="120"/>
  <c r="A24" i="110"/>
  <c r="D37" i="120"/>
  <c r="A12" i="120"/>
  <c r="A28" i="109"/>
  <c r="A112" i="120"/>
  <c r="A4" i="56"/>
  <c r="A12" i="109"/>
  <c r="D16" i="120"/>
  <c r="A96" i="120"/>
  <c r="A29" i="120"/>
  <c r="A45" i="109"/>
  <c r="A24" i="109"/>
  <c r="M10" i="109"/>
  <c r="BH14" i="115"/>
  <c r="BJ14" i="115"/>
  <c r="I23" i="109" s="1"/>
  <c r="BJ10" i="115"/>
  <c r="I54" i="109" s="1"/>
  <c r="BL10" i="115"/>
  <c r="M58" i="109" s="1"/>
  <c r="BH10" i="115"/>
  <c r="E52" i="109" s="1"/>
  <c r="E32" i="109"/>
  <c r="A20" i="109"/>
  <c r="A60" i="120"/>
  <c r="D24" i="120"/>
  <c r="A41" i="109"/>
  <c r="A36" i="109"/>
  <c r="A105" i="120"/>
  <c r="Q18" i="109"/>
  <c r="A8" i="55"/>
  <c r="A5" i="119"/>
  <c r="A17" i="119"/>
  <c r="A25" i="120"/>
  <c r="A9" i="118"/>
  <c r="A56" i="120"/>
  <c r="A33" i="120"/>
  <c r="A80" i="120"/>
  <c r="A21" i="109"/>
  <c r="A72" i="120"/>
  <c r="D120" i="120"/>
  <c r="D76" i="120"/>
  <c r="A12" i="110"/>
  <c r="A101" i="120"/>
  <c r="A4" i="55"/>
  <c r="A44" i="109"/>
  <c r="A9" i="120"/>
  <c r="A29" i="110"/>
  <c r="D128" i="120"/>
  <c r="A77" i="120"/>
  <c r="A44" i="120"/>
  <c r="A56" i="109"/>
  <c r="A13" i="109"/>
  <c r="A109" i="120"/>
  <c r="D101" i="120"/>
  <c r="D21" i="120"/>
  <c r="D32" i="120"/>
  <c r="D64" i="120"/>
  <c r="E5" i="109"/>
  <c r="A53" i="109"/>
  <c r="A25" i="109"/>
  <c r="A49" i="109"/>
  <c r="A5" i="109"/>
  <c r="A124" i="120"/>
  <c r="E8" i="109"/>
  <c r="A13" i="56"/>
  <c r="A9" i="55"/>
  <c r="A128" i="120"/>
  <c r="A17" i="110"/>
  <c r="A8" i="120"/>
  <c r="A9" i="109"/>
  <c r="E61" i="109"/>
  <c r="BH18" i="115"/>
  <c r="BJ18" i="115"/>
  <c r="BP6" i="115"/>
  <c r="BN6" i="115"/>
  <c r="Q50" i="109" s="1"/>
  <c r="BR6" i="115"/>
  <c r="BH6" i="115"/>
  <c r="BL6" i="115"/>
  <c r="BJ6" i="115"/>
  <c r="BJ13" i="115"/>
  <c r="BH13" i="115"/>
  <c r="A33" i="109"/>
  <c r="A49" i="120"/>
  <c r="A16" i="109"/>
  <c r="A5" i="110"/>
  <c r="A8" i="109"/>
  <c r="A12" i="56"/>
  <c r="A113" i="120"/>
  <c r="D56" i="120"/>
  <c r="A52" i="120"/>
  <c r="A92" i="120"/>
  <c r="A60" i="109"/>
  <c r="A45" i="120"/>
  <c r="A20" i="110"/>
  <c r="A81" i="120"/>
  <c r="D88" i="120"/>
  <c r="D53" i="120"/>
  <c r="A5" i="120"/>
  <c r="A8" i="118"/>
  <c r="A120" i="120"/>
  <c r="A65" i="109"/>
  <c r="A16" i="120"/>
  <c r="A5" i="118"/>
  <c r="D29" i="120"/>
  <c r="A76" i="120"/>
  <c r="A40" i="109"/>
  <c r="A57" i="109"/>
  <c r="A36" i="120"/>
  <c r="D93" i="120"/>
  <c r="A12" i="119"/>
  <c r="A4" i="119"/>
  <c r="A4" i="120"/>
  <c r="A125" i="120"/>
  <c r="U34" i="109"/>
  <c r="E16" i="109"/>
  <c r="A41" i="120"/>
  <c r="D96" i="120"/>
  <c r="A16" i="119"/>
  <c r="A4" i="110"/>
  <c r="A93" i="120"/>
  <c r="A64" i="120"/>
  <c r="E56" i="109"/>
  <c r="BH8" i="115"/>
  <c r="BJ8" i="115"/>
  <c r="BL8" i="115"/>
  <c r="BJ17" i="115"/>
  <c r="I62" i="109" s="1"/>
  <c r="BH17" i="115"/>
  <c r="BH11" i="115"/>
  <c r="BJ11" i="115"/>
  <c r="E53" i="109"/>
  <c r="A13" i="119"/>
  <c r="A68" i="120"/>
  <c r="A32" i="120"/>
  <c r="D109" i="120"/>
  <c r="A5" i="55"/>
  <c r="A73" i="120"/>
  <c r="A89" i="120"/>
  <c r="E24" i="109"/>
  <c r="A116" i="120"/>
  <c r="D40" i="120"/>
  <c r="A25" i="110"/>
  <c r="D117" i="120"/>
  <c r="D104" i="120"/>
  <c r="A4" i="109"/>
  <c r="A61" i="109"/>
  <c r="A52" i="109"/>
  <c r="A29" i="109"/>
  <c r="A8" i="110"/>
  <c r="D80" i="120"/>
  <c r="D112" i="120"/>
  <c r="A8" i="119"/>
  <c r="A28" i="110"/>
  <c r="A64" i="109"/>
  <c r="A117" i="120"/>
  <c r="I6" i="109"/>
  <c r="E37" i="109"/>
  <c r="A61" i="120"/>
  <c r="A32" i="110"/>
  <c r="A21" i="110"/>
  <c r="A9" i="56"/>
  <c r="A48" i="120"/>
  <c r="A33" i="110"/>
  <c r="A17" i="120"/>
  <c r="E48" i="109"/>
  <c r="D85" i="120"/>
  <c r="D13" i="120"/>
  <c r="D5" i="120"/>
  <c r="D45" i="120"/>
  <c r="A17" i="109"/>
  <c r="A69" i="120"/>
  <c r="A16" i="56"/>
  <c r="A16" i="110"/>
  <c r="E4" i="109"/>
  <c r="E64" i="109"/>
  <c r="A53" i="120"/>
  <c r="D48" i="120"/>
  <c r="E21" i="109"/>
  <c r="E45" i="109"/>
  <c r="A108" i="120"/>
  <c r="A40" i="120"/>
  <c r="A57" i="120"/>
  <c r="A4" i="118"/>
  <c r="E40" i="109"/>
  <c r="L2" i="123"/>
  <c r="AC2" i="123"/>
  <c r="B2" i="123"/>
  <c r="AD2" i="123"/>
  <c r="G2" i="123"/>
  <c r="U2" i="123"/>
  <c r="C2" i="123"/>
  <c r="T2" i="123"/>
  <c r="AF2" i="123"/>
  <c r="J2" i="123"/>
  <c r="AE2" i="123"/>
  <c r="P2" i="123"/>
  <c r="Z2" i="123"/>
  <c r="D2" i="123"/>
  <c r="O2" i="123"/>
  <c r="S2" i="123"/>
  <c r="H2" i="123"/>
  <c r="Y2" i="123"/>
  <c r="W2" i="123"/>
  <c r="R2" i="123"/>
  <c r="V2" i="123"/>
  <c r="I2" i="123"/>
  <c r="A2" i="123"/>
  <c r="Q2" i="123"/>
  <c r="F2" i="123"/>
  <c r="N2" i="123"/>
  <c r="M2" i="123"/>
  <c r="E2" i="123"/>
  <c r="X2" i="123"/>
  <c r="K2" i="123"/>
  <c r="AB2" i="123"/>
  <c r="AA2" i="123"/>
  <c r="E28" i="109" l="1"/>
  <c r="E36" i="109"/>
  <c r="D53" i="15"/>
  <c r="K53" i="15" s="1"/>
  <c r="B17" i="10"/>
  <c r="D34" i="50" s="1"/>
  <c r="D52" i="15"/>
  <c r="K52" i="15" s="1"/>
  <c r="D11" i="15"/>
  <c r="K11" i="15" s="1"/>
  <c r="B17" i="1"/>
  <c r="D6" i="50" s="1"/>
  <c r="D10" i="15"/>
  <c r="K10" i="15" s="1"/>
  <c r="B12" i="1"/>
  <c r="D41" i="15"/>
  <c r="K41" i="15" s="1"/>
  <c r="B17" i="8"/>
  <c r="D26" i="50" s="1"/>
  <c r="B40" i="15"/>
  <c r="B14" i="8"/>
  <c r="D23" i="50" s="1"/>
  <c r="B12" i="8"/>
  <c r="D40" i="15"/>
  <c r="K40" i="15" s="1"/>
  <c r="D59" i="15"/>
  <c r="K59" i="15" s="1"/>
  <c r="B17" i="108"/>
  <c r="D38" i="50" s="1"/>
  <c r="D58" i="15"/>
  <c r="K58" i="15" s="1"/>
  <c r="D71" i="15"/>
  <c r="K71" i="15" s="1"/>
  <c r="D70" i="15"/>
  <c r="K70" i="15" s="1"/>
  <c r="B12" i="106"/>
  <c r="B11" i="106"/>
  <c r="B17" i="106" s="1"/>
  <c r="D46" i="50" s="1"/>
  <c r="B10" i="106"/>
  <c r="D83" i="15"/>
  <c r="K83" i="15" s="1"/>
  <c r="B17" i="104"/>
  <c r="D54" i="50" s="1"/>
  <c r="D82" i="15"/>
  <c r="K82" i="15" s="1"/>
  <c r="B12" i="104"/>
  <c r="B10" i="104"/>
  <c r="B10" i="50"/>
  <c r="A10" i="50"/>
  <c r="B12" i="4"/>
  <c r="D16" i="15"/>
  <c r="K16" i="15" s="1"/>
  <c r="A18" i="50"/>
  <c r="B18" i="50"/>
  <c r="B10" i="5"/>
  <c r="B12" i="5" s="1"/>
  <c r="D28" i="15"/>
  <c r="K28" i="15" s="1"/>
  <c r="B12" i="6"/>
  <c r="D95" i="15"/>
  <c r="K95" i="15" s="1"/>
  <c r="B17" i="102"/>
  <c r="D62" i="50" s="1"/>
  <c r="B11" i="99"/>
  <c r="B17" i="99" s="1"/>
  <c r="D74" i="50" s="1"/>
  <c r="B10" i="105"/>
  <c r="B76" i="15" s="1"/>
  <c r="B10" i="10"/>
  <c r="B12" i="10" s="1"/>
  <c r="D94" i="15"/>
  <c r="K94" i="15" s="1"/>
  <c r="B12" i="102"/>
  <c r="B10" i="102"/>
  <c r="D77" i="15"/>
  <c r="K77" i="15" s="1"/>
  <c r="B17" i="105"/>
  <c r="D50" i="50" s="1"/>
  <c r="B12" i="105"/>
  <c r="D76" i="15"/>
  <c r="K76" i="15" s="1"/>
  <c r="D47" i="15"/>
  <c r="K47" i="15" s="1"/>
  <c r="B17" i="9"/>
  <c r="D30" i="50" s="1"/>
  <c r="B10" i="100"/>
  <c r="B106" i="15" s="1"/>
  <c r="D46" i="15"/>
  <c r="K46" i="15" s="1"/>
  <c r="B12" i="9"/>
  <c r="D107" i="15"/>
  <c r="K107" i="15" s="1"/>
  <c r="B17" i="100"/>
  <c r="D70" i="50" s="1"/>
  <c r="B14" i="100"/>
  <c r="D67" i="50" s="1"/>
  <c r="D106" i="15"/>
  <c r="K106" i="15" s="1"/>
  <c r="M42" i="109"/>
  <c r="B10" i="93"/>
  <c r="B148" i="15" s="1"/>
  <c r="B10" i="90"/>
  <c r="B166" i="15" s="1"/>
  <c r="D101" i="15"/>
  <c r="K101" i="15" s="1"/>
  <c r="B17" i="101"/>
  <c r="D66" i="50" s="1"/>
  <c r="B12" i="101"/>
  <c r="D100" i="15"/>
  <c r="K100" i="15" s="1"/>
  <c r="B10" i="101"/>
  <c r="I38" i="109"/>
  <c r="B10" i="86"/>
  <c r="B190" i="15" s="1"/>
  <c r="D23" i="15"/>
  <c r="K23" i="15" s="1"/>
  <c r="B17" i="5"/>
  <c r="D14" i="50" s="1"/>
  <c r="B22" i="15"/>
  <c r="B14" i="5"/>
  <c r="D11" i="50" s="1"/>
  <c r="D22" i="15"/>
  <c r="K22" i="15" s="1"/>
  <c r="B10" i="107"/>
  <c r="B14" i="107" s="1"/>
  <c r="D39" i="50" s="1"/>
  <c r="B10" i="95"/>
  <c r="B136" i="15" s="1"/>
  <c r="D113" i="15"/>
  <c r="K113" i="15" s="1"/>
  <c r="U57" i="109"/>
  <c r="I55" i="109"/>
  <c r="B112" i="15"/>
  <c r="B14" i="99"/>
  <c r="D71" i="50" s="1"/>
  <c r="B12" i="99"/>
  <c r="D112" i="15"/>
  <c r="K112" i="15" s="1"/>
  <c r="D65" i="15"/>
  <c r="K65" i="15" s="1"/>
  <c r="B17" i="107"/>
  <c r="D42" i="50" s="1"/>
  <c r="B12" i="107"/>
  <c r="D64" i="15"/>
  <c r="K64" i="15" s="1"/>
  <c r="D89" i="15"/>
  <c r="K89" i="15" s="1"/>
  <c r="B17" i="103"/>
  <c r="D58" i="50" s="1"/>
  <c r="B12" i="103"/>
  <c r="D88" i="15"/>
  <c r="K88" i="15" s="1"/>
  <c r="B10" i="103"/>
  <c r="D35" i="15"/>
  <c r="K35" i="15" s="1"/>
  <c r="B17" i="7"/>
  <c r="D22" i="50" s="1"/>
  <c r="D34" i="15"/>
  <c r="K34" i="15" s="1"/>
  <c r="B10" i="7"/>
  <c r="B12" i="7" s="1"/>
  <c r="E9" i="109"/>
  <c r="M11" i="109"/>
  <c r="AW9" i="115" s="1"/>
  <c r="E25" i="109"/>
  <c r="M26" i="109"/>
  <c r="E17" i="109"/>
  <c r="B10" i="87"/>
  <c r="B184" i="15" s="1"/>
  <c r="B10" i="108"/>
  <c r="B12" i="108" s="1"/>
  <c r="E57" i="109"/>
  <c r="E20" i="109"/>
  <c r="I30" i="109"/>
  <c r="AU16" i="115" s="1"/>
  <c r="B10" i="9"/>
  <c r="B10" i="6"/>
  <c r="B10" i="4"/>
  <c r="I14" i="109"/>
  <c r="BA3" i="115"/>
  <c r="AU3" i="115"/>
  <c r="AY3" i="115"/>
  <c r="AW3" i="115"/>
  <c r="B10" i="96"/>
  <c r="B130" i="15" s="1"/>
  <c r="B10" i="1"/>
  <c r="AB3" i="123"/>
  <c r="AB5" i="123"/>
  <c r="AC4" i="123" s="1"/>
  <c r="G3" i="123"/>
  <c r="B3" i="123"/>
  <c r="I3" i="123"/>
  <c r="T5" i="123"/>
  <c r="T3" i="123"/>
  <c r="O3" i="123"/>
  <c r="D3" i="123"/>
  <c r="S3" i="123"/>
  <c r="AC3" i="123"/>
  <c r="AC5" i="123"/>
  <c r="W3" i="123"/>
  <c r="W5" i="123"/>
  <c r="X4" i="123" s="1"/>
  <c r="J3" i="123"/>
  <c r="C3" i="123"/>
  <c r="N3" i="123"/>
  <c r="K3" i="123"/>
  <c r="P3" i="123"/>
  <c r="Z3" i="123"/>
  <c r="Z5" i="123"/>
  <c r="AA4" i="123" s="1"/>
  <c r="A3" i="123"/>
  <c r="A4" i="123"/>
  <c r="AD5" i="123"/>
  <c r="AE4" i="123" s="1"/>
  <c r="AD3" i="123"/>
  <c r="X3" i="123"/>
  <c r="X5" i="123"/>
  <c r="V5" i="123"/>
  <c r="W4" i="123" s="1"/>
  <c r="V3" i="123"/>
  <c r="H3" i="123"/>
  <c r="AE5" i="123"/>
  <c r="AE3" i="123"/>
  <c r="R3" i="123"/>
  <c r="M3" i="123"/>
  <c r="AF3" i="123"/>
  <c r="AF5" i="123"/>
  <c r="E3" i="123"/>
  <c r="Y3" i="123"/>
  <c r="Y5" i="123"/>
  <c r="U5" i="123"/>
  <c r="U3" i="123"/>
  <c r="L3" i="123"/>
  <c r="Q3" i="123"/>
  <c r="AA3" i="123"/>
  <c r="AA5" i="123"/>
  <c r="AB4" i="123" s="1"/>
  <c r="F3" i="123"/>
  <c r="T1" i="89"/>
  <c r="T1" i="9"/>
  <c r="T1" i="4"/>
  <c r="B107" i="15"/>
  <c r="E12" i="100"/>
  <c r="T1" i="108"/>
  <c r="B23" i="15"/>
  <c r="E12" i="5"/>
  <c r="E12" i="98"/>
  <c r="D120" i="15" s="1"/>
  <c r="K120" i="15" s="1"/>
  <c r="B119" i="15"/>
  <c r="T1" i="97"/>
  <c r="E12" i="86"/>
  <c r="D192" i="15" s="1"/>
  <c r="K192" i="15" s="1"/>
  <c r="B191" i="15"/>
  <c r="E12" i="95"/>
  <c r="D138" i="15" s="1"/>
  <c r="K138" i="15" s="1"/>
  <c r="B137" i="15"/>
  <c r="T1" i="102"/>
  <c r="E12" i="91"/>
  <c r="D162" i="15" s="1"/>
  <c r="K162" i="15" s="1"/>
  <c r="B161" i="15"/>
  <c r="E12" i="96"/>
  <c r="D132" i="15" s="1"/>
  <c r="K132" i="15" s="1"/>
  <c r="B131" i="15"/>
  <c r="B143" i="15"/>
  <c r="E12" i="94"/>
  <c r="D144" i="15" s="1"/>
  <c r="K144" i="15" s="1"/>
  <c r="E12" i="103"/>
  <c r="B89" i="15"/>
  <c r="I7" i="109"/>
  <c r="AU17" i="115" s="1"/>
  <c r="E44" i="109"/>
  <c r="I15" i="109"/>
  <c r="AU9" i="115" s="1"/>
  <c r="E49" i="109"/>
  <c r="I31" i="109"/>
  <c r="B10" i="85"/>
  <c r="B196" i="15" s="1"/>
  <c r="B77" i="15"/>
  <c r="E12" i="105"/>
  <c r="T1" i="6"/>
  <c r="T1" i="98"/>
  <c r="T1" i="88"/>
  <c r="T1" i="94"/>
  <c r="B41" i="15"/>
  <c r="E12" i="8"/>
  <c r="E12" i="9"/>
  <c r="B47" i="15"/>
  <c r="B65" i="15"/>
  <c r="E12" i="107"/>
  <c r="E12" i="88"/>
  <c r="D180" i="15" s="1"/>
  <c r="K180" i="15" s="1"/>
  <c r="B179" i="15"/>
  <c r="T1" i="107"/>
  <c r="B83" i="15"/>
  <c r="E12" i="104"/>
  <c r="B11" i="15"/>
  <c r="E12" i="1"/>
  <c r="T1" i="5"/>
  <c r="E12" i="89"/>
  <c r="D174" i="15" s="1"/>
  <c r="K174" i="15" s="1"/>
  <c r="B173" i="15"/>
  <c r="M27" i="109"/>
  <c r="B10" i="98"/>
  <c r="B118" i="15" s="1"/>
  <c r="B10" i="91"/>
  <c r="B160" i="15" s="1"/>
  <c r="T1" i="103"/>
  <c r="E12" i="108"/>
  <c r="B59" i="15"/>
  <c r="T1" i="106"/>
  <c r="T1" i="101"/>
  <c r="E12" i="7"/>
  <c r="B35" i="15"/>
  <c r="T1" i="91"/>
  <c r="B149" i="15"/>
  <c r="E12" i="93"/>
  <c r="D150" i="15" s="1"/>
  <c r="K150" i="15" s="1"/>
  <c r="T1" i="1"/>
  <c r="B125" i="15"/>
  <c r="E12" i="97"/>
  <c r="D126" i="15" s="1"/>
  <c r="K126" i="15" s="1"/>
  <c r="T1" i="87"/>
  <c r="T1" i="93"/>
  <c r="T1" i="95"/>
  <c r="B95" i="15"/>
  <c r="E12" i="102"/>
  <c r="T1" i="10"/>
  <c r="B155" i="15"/>
  <c r="E12" i="92"/>
  <c r="D156" i="15" s="1"/>
  <c r="K156" i="15" s="1"/>
  <c r="T1" i="86"/>
  <c r="E12" i="101"/>
  <c r="B101" i="15"/>
  <c r="B197" i="15"/>
  <c r="E12" i="85"/>
  <c r="D198" i="15" s="1"/>
  <c r="K198" i="15" s="1"/>
  <c r="E12" i="109"/>
  <c r="I46" i="109"/>
  <c r="AU14" i="115" s="1"/>
  <c r="I47" i="109"/>
  <c r="AU7" i="115" s="1"/>
  <c r="U56" i="109"/>
  <c r="BA6" i="115" s="1"/>
  <c r="Q19" i="109"/>
  <c r="AY5" i="115" s="1"/>
  <c r="B10" i="94"/>
  <c r="B142" i="15" s="1"/>
  <c r="B185" i="15"/>
  <c r="E12" i="87"/>
  <c r="D186" i="15" s="1"/>
  <c r="K186" i="15" s="1"/>
  <c r="T1" i="99"/>
  <c r="T1" i="104"/>
  <c r="T1" i="85"/>
  <c r="T1" i="7"/>
  <c r="E12" i="6"/>
  <c r="B29" i="15"/>
  <c r="E12" i="10"/>
  <c r="B53" i="15"/>
  <c r="T1" i="92"/>
  <c r="T1" i="96"/>
  <c r="T1" i="105"/>
  <c r="E12" i="90"/>
  <c r="D168" i="15" s="1"/>
  <c r="K168" i="15" s="1"/>
  <c r="B167" i="15"/>
  <c r="T1" i="100"/>
  <c r="T1" i="90"/>
  <c r="T1" i="8"/>
  <c r="E12" i="4"/>
  <c r="B17" i="15"/>
  <c r="AU4" i="115"/>
  <c r="BA4" i="115"/>
  <c r="E60" i="109"/>
  <c r="AY4" i="115"/>
  <c r="AW4" i="115"/>
  <c r="M43" i="109"/>
  <c r="B10" i="88"/>
  <c r="B178" i="15" s="1"/>
  <c r="E33" i="109"/>
  <c r="B10" i="92"/>
  <c r="B154" i="15" s="1"/>
  <c r="B10" i="89"/>
  <c r="B172" i="15" s="1"/>
  <c r="X35" i="109"/>
  <c r="X34" i="109"/>
  <c r="G167" i="15"/>
  <c r="G197" i="15"/>
  <c r="R1" i="93"/>
  <c r="R1" i="1"/>
  <c r="G174" i="15"/>
  <c r="G170" i="15"/>
  <c r="S1" i="88"/>
  <c r="G146" i="15"/>
  <c r="R1" i="86"/>
  <c r="G140" i="15"/>
  <c r="G150" i="15"/>
  <c r="S1" i="95"/>
  <c r="G137" i="15"/>
  <c r="G185" i="15"/>
  <c r="S1" i="85"/>
  <c r="G148" i="15"/>
  <c r="G180" i="15"/>
  <c r="G8" i="15"/>
  <c r="G12" i="15"/>
  <c r="G147" i="15"/>
  <c r="G141" i="15"/>
  <c r="S1" i="97"/>
  <c r="G155" i="15"/>
  <c r="S1" i="94"/>
  <c r="R1" i="89"/>
  <c r="G159" i="15"/>
  <c r="G173" i="15"/>
  <c r="G153" i="15"/>
  <c r="S1" i="87"/>
  <c r="R1" i="88"/>
  <c r="G177" i="15"/>
  <c r="S1" i="96"/>
  <c r="G191" i="15"/>
  <c r="G188" i="15"/>
  <c r="S1" i="92"/>
  <c r="H2" i="124"/>
  <c r="G135" i="15"/>
  <c r="G129" i="15"/>
  <c r="G144" i="15"/>
  <c r="G178" i="15"/>
  <c r="G179" i="15"/>
  <c r="G131" i="15"/>
  <c r="G189" i="15"/>
  <c r="G176" i="15"/>
  <c r="G161" i="15"/>
  <c r="R1" i="90"/>
  <c r="G10" i="15"/>
  <c r="G142" i="15"/>
  <c r="S1" i="86"/>
  <c r="S1" i="93"/>
  <c r="G123" i="15"/>
  <c r="G172" i="15"/>
  <c r="P2" i="124"/>
  <c r="G165" i="15"/>
  <c r="G149" i="15"/>
  <c r="S1" i="89"/>
  <c r="S1" i="91"/>
  <c r="G166" i="15"/>
  <c r="G195" i="15"/>
  <c r="G192" i="15"/>
  <c r="S1" i="90"/>
  <c r="G190" i="15"/>
  <c r="R1" i="94"/>
  <c r="G168" i="15"/>
  <c r="G125" i="15"/>
  <c r="G183" i="15"/>
  <c r="G164" i="15"/>
  <c r="G143" i="15"/>
  <c r="G171" i="15"/>
  <c r="AU12" i="115" l="1"/>
  <c r="B71" i="15"/>
  <c r="AW10" i="115"/>
  <c r="AW5" i="115"/>
  <c r="D54" i="15"/>
  <c r="K54" i="15" s="1"/>
  <c r="B16" i="10"/>
  <c r="D33" i="50" s="1"/>
  <c r="B54" i="15"/>
  <c r="B15" i="10"/>
  <c r="D32" i="50" s="1"/>
  <c r="A34" i="50"/>
  <c r="B34" i="50"/>
  <c r="B52" i="15"/>
  <c r="B14" i="10"/>
  <c r="D31" i="50" s="1"/>
  <c r="D12" i="15"/>
  <c r="K12" i="15" s="1"/>
  <c r="B16" i="1"/>
  <c r="D5" i="50" s="1"/>
  <c r="B12" i="15"/>
  <c r="B15" i="1"/>
  <c r="D4" i="50" s="1"/>
  <c r="B6" i="50"/>
  <c r="A6" i="50"/>
  <c r="B10" i="15"/>
  <c r="B14" i="1"/>
  <c r="D3" i="50" s="1"/>
  <c r="B42" i="15"/>
  <c r="B15" i="8"/>
  <c r="D24" i="50" s="1"/>
  <c r="D42" i="15"/>
  <c r="K42" i="15" s="1"/>
  <c r="B16" i="8"/>
  <c r="D25" i="50" s="1"/>
  <c r="A26" i="50"/>
  <c r="B26" i="50"/>
  <c r="A23" i="50"/>
  <c r="B23" i="50"/>
  <c r="E12" i="106"/>
  <c r="B16" i="106" s="1"/>
  <c r="D45" i="50" s="1"/>
  <c r="D60" i="15"/>
  <c r="K60" i="15" s="1"/>
  <c r="B16" i="108"/>
  <c r="D37" i="50" s="1"/>
  <c r="B60" i="15"/>
  <c r="B15" i="108"/>
  <c r="D36" i="50" s="1"/>
  <c r="A38" i="50"/>
  <c r="B38" i="50"/>
  <c r="B58" i="15"/>
  <c r="B14" i="108"/>
  <c r="D35" i="50" s="1"/>
  <c r="B72" i="15"/>
  <c r="B15" i="106"/>
  <c r="D44" i="50" s="1"/>
  <c r="A46" i="50"/>
  <c r="B46" i="50"/>
  <c r="B70" i="15"/>
  <c r="B14" i="106"/>
  <c r="D43" i="50" s="1"/>
  <c r="D84" i="15"/>
  <c r="K84" i="15" s="1"/>
  <c r="B16" i="104"/>
  <c r="D53" i="50" s="1"/>
  <c r="B84" i="15"/>
  <c r="B15" i="104"/>
  <c r="D52" i="50" s="1"/>
  <c r="A54" i="50"/>
  <c r="B54" i="50"/>
  <c r="B82" i="15"/>
  <c r="B14" i="104"/>
  <c r="D51" i="50" s="1"/>
  <c r="D18" i="15"/>
  <c r="K18" i="15" s="1"/>
  <c r="B16" i="4"/>
  <c r="D9" i="50" s="1"/>
  <c r="B18" i="15"/>
  <c r="B15" i="4"/>
  <c r="D8" i="50" s="1"/>
  <c r="AU5" i="115"/>
  <c r="B16" i="15"/>
  <c r="B14" i="4"/>
  <c r="D7" i="50" s="1"/>
  <c r="B30" i="15"/>
  <c r="B15" i="6"/>
  <c r="D16" i="50" s="1"/>
  <c r="D30" i="15"/>
  <c r="K30" i="15" s="1"/>
  <c r="B16" i="6"/>
  <c r="D17" i="50" s="1"/>
  <c r="B14" i="105"/>
  <c r="D47" i="50" s="1"/>
  <c r="B47" i="50" s="1"/>
  <c r="B28" i="15"/>
  <c r="B14" i="6"/>
  <c r="D15" i="50" s="1"/>
  <c r="B64" i="15"/>
  <c r="B113" i="15"/>
  <c r="E12" i="99"/>
  <c r="B16" i="99" s="1"/>
  <c r="D73" i="50" s="1"/>
  <c r="B96" i="15"/>
  <c r="B15" i="102"/>
  <c r="D60" i="50" s="1"/>
  <c r="D96" i="15"/>
  <c r="K96" i="15" s="1"/>
  <c r="B16" i="102"/>
  <c r="D61" i="50" s="1"/>
  <c r="A62" i="50"/>
  <c r="B62" i="50"/>
  <c r="B94" i="15"/>
  <c r="B14" i="102"/>
  <c r="D59" i="50" s="1"/>
  <c r="D78" i="15"/>
  <c r="K78" i="15" s="1"/>
  <c r="B16" i="105"/>
  <c r="D49" i="50" s="1"/>
  <c r="B78" i="15"/>
  <c r="B15" i="105"/>
  <c r="D48" i="50" s="1"/>
  <c r="A50" i="50"/>
  <c r="B50" i="50"/>
  <c r="B48" i="15"/>
  <c r="B15" i="9"/>
  <c r="D28" i="50" s="1"/>
  <c r="D48" i="15"/>
  <c r="K48" i="15" s="1"/>
  <c r="B16" i="9"/>
  <c r="D29" i="50" s="1"/>
  <c r="A30" i="50"/>
  <c r="B30" i="50"/>
  <c r="B12" i="100"/>
  <c r="B108" i="15" s="1"/>
  <c r="B46" i="15"/>
  <c r="B14" i="9"/>
  <c r="D27" i="50" s="1"/>
  <c r="D108" i="15"/>
  <c r="K108" i="15" s="1"/>
  <c r="B15" i="100"/>
  <c r="D68" i="50" s="1"/>
  <c r="B70" i="50"/>
  <c r="A70" i="50"/>
  <c r="B67" i="50"/>
  <c r="A67" i="50"/>
  <c r="D102" i="15"/>
  <c r="K102" i="15" s="1"/>
  <c r="B16" i="101"/>
  <c r="D65" i="50" s="1"/>
  <c r="B102" i="15"/>
  <c r="B15" i="101"/>
  <c r="D64" i="50" s="1"/>
  <c r="A66" i="50"/>
  <c r="B66" i="50"/>
  <c r="B100" i="15"/>
  <c r="B14" i="101"/>
  <c r="D63" i="50" s="1"/>
  <c r="AU10" i="115"/>
  <c r="D24" i="15"/>
  <c r="K24" i="15" s="1"/>
  <c r="B16" i="5"/>
  <c r="D13" i="50" s="1"/>
  <c r="B24" i="15"/>
  <c r="B15" i="5"/>
  <c r="D12" i="50" s="1"/>
  <c r="A14" i="50"/>
  <c r="B14" i="50"/>
  <c r="A11" i="50"/>
  <c r="B11" i="50"/>
  <c r="B114" i="15"/>
  <c r="B15" i="99"/>
  <c r="D72" i="50" s="1"/>
  <c r="A74" i="50"/>
  <c r="B74" i="50"/>
  <c r="A71" i="50"/>
  <c r="B71" i="50"/>
  <c r="B66" i="15"/>
  <c r="B15" i="107"/>
  <c r="D40" i="50" s="1"/>
  <c r="D66" i="15"/>
  <c r="K66" i="15" s="1"/>
  <c r="B16" i="107"/>
  <c r="D41" i="50" s="1"/>
  <c r="B42" i="50"/>
  <c r="A42" i="50"/>
  <c r="A39" i="50"/>
  <c r="B39" i="50"/>
  <c r="D90" i="15"/>
  <c r="K90" i="15" s="1"/>
  <c r="B16" i="103"/>
  <c r="D57" i="50" s="1"/>
  <c r="B90" i="15"/>
  <c r="B15" i="103"/>
  <c r="D56" i="50" s="1"/>
  <c r="B58" i="50"/>
  <c r="A58" i="50"/>
  <c r="B88" i="15"/>
  <c r="B14" i="103"/>
  <c r="D55" i="50" s="1"/>
  <c r="D36" i="15"/>
  <c r="K36" i="15" s="1"/>
  <c r="B16" i="7"/>
  <c r="D21" i="50" s="1"/>
  <c r="B36" i="15"/>
  <c r="B15" i="7"/>
  <c r="D20" i="50" s="1"/>
  <c r="B22" i="50"/>
  <c r="A22" i="50"/>
  <c r="B34" i="15"/>
  <c r="B14" i="7"/>
  <c r="D19" i="50" s="1"/>
  <c r="AU11" i="115"/>
  <c r="AU15" i="115"/>
  <c r="AW7" i="115"/>
  <c r="AU8" i="115"/>
  <c r="AU13" i="115"/>
  <c r="AU18" i="115"/>
  <c r="BB3" i="115"/>
  <c r="AU6" i="115"/>
  <c r="AW6" i="115"/>
  <c r="H17" i="124"/>
  <c r="D3" i="124"/>
  <c r="H5" i="124"/>
  <c r="Z4" i="123"/>
  <c r="AY6" i="115"/>
  <c r="V4" i="123"/>
  <c r="BB4" i="115"/>
  <c r="Y4" i="123"/>
  <c r="AW8" i="115"/>
  <c r="A5" i="123"/>
  <c r="BA5" i="115"/>
  <c r="X56" i="109"/>
  <c r="U4" i="123"/>
  <c r="AF4" i="123"/>
  <c r="AD4" i="123"/>
  <c r="G196" i="15"/>
  <c r="G158" i="15"/>
  <c r="G134" i="15"/>
  <c r="G198" i="15"/>
  <c r="R1" i="95"/>
  <c r="R1" i="96"/>
  <c r="G182" i="15"/>
  <c r="G138" i="15"/>
  <c r="R1" i="87"/>
  <c r="G154" i="15"/>
  <c r="G152" i="15"/>
  <c r="S1" i="1"/>
  <c r="R1" i="91"/>
  <c r="R1" i="85"/>
  <c r="G11" i="15"/>
  <c r="G132" i="15"/>
  <c r="G184" i="15"/>
  <c r="G156" i="15"/>
  <c r="J2" i="124"/>
  <c r="G136" i="15"/>
  <c r="G160" i="15"/>
  <c r="G186" i="15"/>
  <c r="R1" i="92"/>
  <c r="G194" i="15"/>
  <c r="G130" i="15"/>
  <c r="G9" i="15"/>
  <c r="G128" i="15"/>
  <c r="G162" i="15"/>
  <c r="A47" i="50" l="1"/>
  <c r="AJ9" i="115"/>
  <c r="A33" i="50"/>
  <c r="B33" i="50"/>
  <c r="A32" i="50"/>
  <c r="B32" i="50"/>
  <c r="B31" i="50"/>
  <c r="A31" i="50"/>
  <c r="A5" i="50"/>
  <c r="B5" i="50"/>
  <c r="A4" i="50"/>
  <c r="B4" i="50"/>
  <c r="B3" i="50"/>
  <c r="A3" i="50"/>
  <c r="B24" i="50"/>
  <c r="A24" i="50"/>
  <c r="A25" i="50"/>
  <c r="B25" i="50"/>
  <c r="D72" i="15"/>
  <c r="K72" i="15" s="1"/>
  <c r="B37" i="50"/>
  <c r="A37" i="50"/>
  <c r="B36" i="50"/>
  <c r="A36" i="50"/>
  <c r="B35" i="50"/>
  <c r="A35" i="50"/>
  <c r="B45" i="50"/>
  <c r="A45" i="50"/>
  <c r="B44" i="50"/>
  <c r="A44" i="50"/>
  <c r="B43" i="50"/>
  <c r="A43" i="50"/>
  <c r="A53" i="50"/>
  <c r="B53" i="50"/>
  <c r="B52" i="50"/>
  <c r="A52" i="50"/>
  <c r="B51" i="50"/>
  <c r="A51" i="50"/>
  <c r="D114" i="15"/>
  <c r="K114" i="15" s="1"/>
  <c r="AJ3" i="115"/>
  <c r="B9" i="50"/>
  <c r="A9" i="50"/>
  <c r="B8" i="50"/>
  <c r="A8" i="50"/>
  <c r="A7" i="50"/>
  <c r="B7" i="50"/>
  <c r="A16" i="50"/>
  <c r="B16" i="50"/>
  <c r="B17" i="50"/>
  <c r="A17" i="50"/>
  <c r="B15" i="50"/>
  <c r="A15" i="50"/>
  <c r="A60" i="50"/>
  <c r="B60" i="50"/>
  <c r="B61" i="50"/>
  <c r="A61" i="50"/>
  <c r="B59" i="50"/>
  <c r="A59" i="50"/>
  <c r="A49" i="50"/>
  <c r="B49" i="50"/>
  <c r="B48" i="50"/>
  <c r="A48" i="50"/>
  <c r="A28" i="50"/>
  <c r="B28" i="50"/>
  <c r="A29" i="50"/>
  <c r="B29" i="50"/>
  <c r="B16" i="100"/>
  <c r="D69" i="50" s="1"/>
  <c r="A69" i="50" s="1"/>
  <c r="B27" i="50"/>
  <c r="A27" i="50"/>
  <c r="A68" i="50"/>
  <c r="B68" i="50"/>
  <c r="B65" i="50"/>
  <c r="A65" i="50"/>
  <c r="B64" i="50"/>
  <c r="A64" i="50"/>
  <c r="A63" i="50"/>
  <c r="B63" i="50"/>
  <c r="B13" i="50"/>
  <c r="A13" i="50"/>
  <c r="A12" i="50"/>
  <c r="B12" i="50"/>
  <c r="B73" i="50"/>
  <c r="A73" i="50"/>
  <c r="A72" i="50"/>
  <c r="B72" i="50"/>
  <c r="B40" i="50"/>
  <c r="A40" i="50"/>
  <c r="B41" i="50"/>
  <c r="A41" i="50"/>
  <c r="B57" i="50"/>
  <c r="A57" i="50"/>
  <c r="A56" i="50"/>
  <c r="B56" i="50"/>
  <c r="B55" i="50"/>
  <c r="A55" i="50"/>
  <c r="AL3" i="115"/>
  <c r="A21" i="50"/>
  <c r="B21" i="50"/>
  <c r="A20" i="50"/>
  <c r="B20" i="50"/>
  <c r="AJ10" i="115"/>
  <c r="B19" i="50"/>
  <c r="A19" i="50"/>
  <c r="AN5" i="115"/>
  <c r="AL5" i="115"/>
  <c r="D7" i="124"/>
  <c r="H11" i="124"/>
  <c r="AN6" i="115"/>
  <c r="AN3" i="115"/>
  <c r="AN4" i="115"/>
  <c r="B4" i="123"/>
  <c r="AJ4" i="115"/>
  <c r="AL4" i="115"/>
  <c r="G16" i="15"/>
  <c r="R1" i="4"/>
  <c r="G18" i="15"/>
  <c r="G14" i="15"/>
  <c r="E16" i="119" l="1"/>
  <c r="D3" i="115"/>
  <c r="B3" i="115" s="1"/>
  <c r="D4" i="120" s="1"/>
  <c r="D38" i="115"/>
  <c r="B38" i="115" s="1"/>
  <c r="D72" i="120" s="1"/>
  <c r="E4" i="119"/>
  <c r="D5" i="115"/>
  <c r="B5" i="115" s="1"/>
  <c r="D68" i="120" s="1"/>
  <c r="H70" i="120" s="1"/>
  <c r="D37" i="115"/>
  <c r="B37" i="115" s="1"/>
  <c r="D61" i="120" s="1"/>
  <c r="D4" i="115"/>
  <c r="B4" i="115" s="1"/>
  <c r="D129" i="120" s="1"/>
  <c r="D6" i="115"/>
  <c r="B6" i="115" s="1"/>
  <c r="D65" i="120" s="1"/>
  <c r="E63" i="120" s="1"/>
  <c r="B69" i="50"/>
  <c r="D35" i="115"/>
  <c r="B35" i="115" s="1"/>
  <c r="D125" i="120" s="1"/>
  <c r="D36" i="115"/>
  <c r="B36" i="115" s="1"/>
  <c r="D8" i="120" s="1"/>
  <c r="E5" i="119"/>
  <c r="AJ7" i="115"/>
  <c r="I6" i="119"/>
  <c r="AL6" i="115"/>
  <c r="I14" i="119" s="1"/>
  <c r="D39" i="115"/>
  <c r="D14" i="115"/>
  <c r="B14" i="115" s="1"/>
  <c r="D49" i="120" s="1"/>
  <c r="D7" i="115"/>
  <c r="B7" i="115" s="1"/>
  <c r="D36" i="120" s="1"/>
  <c r="D48" i="115"/>
  <c r="D24" i="115"/>
  <c r="B24" i="115" s="1"/>
  <c r="D44" i="120" s="1"/>
  <c r="D40" i="115"/>
  <c r="D43" i="115"/>
  <c r="D21" i="115"/>
  <c r="B21" i="115" s="1"/>
  <c r="D57" i="120" s="1"/>
  <c r="D45" i="115"/>
  <c r="D25" i="115"/>
  <c r="B25" i="115" s="1"/>
  <c r="D25" i="120" s="1"/>
  <c r="D63" i="115"/>
  <c r="D57" i="115"/>
  <c r="D56" i="115"/>
  <c r="D46" i="115"/>
  <c r="D64" i="115"/>
  <c r="D18" i="115"/>
  <c r="B18" i="115" s="1"/>
  <c r="D17" i="120" s="1"/>
  <c r="D26" i="115"/>
  <c r="B26" i="115" s="1"/>
  <c r="D108" i="120" s="1"/>
  <c r="D53" i="115"/>
  <c r="D22" i="115"/>
  <c r="B22" i="115" s="1"/>
  <c r="D77" i="120" s="1"/>
  <c r="D31" i="115"/>
  <c r="B31" i="115" s="1"/>
  <c r="D73" i="120" s="1"/>
  <c r="D28" i="115"/>
  <c r="B28" i="115" s="1"/>
  <c r="D28" i="120" s="1"/>
  <c r="D19" i="115"/>
  <c r="B19" i="115" s="1"/>
  <c r="D12" i="120" s="1"/>
  <c r="D54" i="115"/>
  <c r="D13" i="115"/>
  <c r="B13" i="115" s="1"/>
  <c r="D84" i="120" s="1"/>
  <c r="D15" i="115"/>
  <c r="B15" i="115" s="1"/>
  <c r="D52" i="120" s="1"/>
  <c r="D59" i="115"/>
  <c r="D50" i="115"/>
  <c r="D12" i="115"/>
  <c r="B12" i="115" s="1"/>
  <c r="D113" i="120" s="1"/>
  <c r="D52" i="115"/>
  <c r="D62" i="115"/>
  <c r="D32" i="115"/>
  <c r="B32" i="115" s="1"/>
  <c r="D60" i="120" s="1"/>
  <c r="D47" i="115"/>
  <c r="D60" i="115"/>
  <c r="D30" i="115"/>
  <c r="B30" i="115" s="1"/>
  <c r="D92" i="120" s="1"/>
  <c r="D66" i="115"/>
  <c r="D51" i="115"/>
  <c r="D49" i="115"/>
  <c r="D33" i="115"/>
  <c r="B33" i="115" s="1"/>
  <c r="D9" i="120" s="1"/>
  <c r="D44" i="115"/>
  <c r="D9" i="115"/>
  <c r="B9" i="115" s="1"/>
  <c r="D100" i="120" s="1"/>
  <c r="D10" i="115"/>
  <c r="B10" i="115" s="1"/>
  <c r="D33" i="120" s="1"/>
  <c r="D29" i="115"/>
  <c r="B29" i="115" s="1"/>
  <c r="D41" i="120" s="1"/>
  <c r="D8" i="115"/>
  <c r="B8" i="115" s="1"/>
  <c r="D97" i="120" s="1"/>
  <c r="D34" i="115"/>
  <c r="B34" i="115" s="1"/>
  <c r="D124" i="120" s="1"/>
  <c r="D58" i="115"/>
  <c r="D41" i="115"/>
  <c r="D17" i="115"/>
  <c r="B17" i="115" s="1"/>
  <c r="D116" i="120" s="1"/>
  <c r="D23" i="115"/>
  <c r="B23" i="115" s="1"/>
  <c r="D89" i="120" s="1"/>
  <c r="D55" i="115"/>
  <c r="D65" i="115"/>
  <c r="D20" i="115"/>
  <c r="B20" i="115" s="1"/>
  <c r="D121" i="120" s="1"/>
  <c r="D11" i="115"/>
  <c r="B11" i="115" s="1"/>
  <c r="D20" i="120" s="1"/>
  <c r="D61" i="115"/>
  <c r="D27" i="115"/>
  <c r="B27" i="115" s="1"/>
  <c r="D105" i="120" s="1"/>
  <c r="D42" i="115"/>
  <c r="D16" i="115"/>
  <c r="B16" i="115" s="1"/>
  <c r="D81" i="120" s="1"/>
  <c r="AJ8" i="115"/>
  <c r="M11" i="119"/>
  <c r="Z4" i="115" s="1"/>
  <c r="M21" i="119"/>
  <c r="Z5" i="115" s="1"/>
  <c r="AJ5" i="115"/>
  <c r="AJ6" i="115"/>
  <c r="M20" i="119"/>
  <c r="E17" i="119"/>
  <c r="I7" i="119"/>
  <c r="X5" i="115" s="1"/>
  <c r="I15" i="119"/>
  <c r="X3" i="115" s="1"/>
  <c r="B5" i="123"/>
  <c r="M10" i="119"/>
  <c r="G17" i="15"/>
  <c r="S1" i="4"/>
  <c r="G15" i="15"/>
  <c r="E67" i="120" l="1"/>
  <c r="G72" i="75"/>
  <c r="G114" i="75"/>
  <c r="G127" i="75"/>
  <c r="G75" i="75"/>
  <c r="G119" i="75"/>
  <c r="G122" i="75"/>
  <c r="G104" i="75"/>
  <c r="G115" i="75"/>
  <c r="G111" i="75"/>
  <c r="G90" i="75"/>
  <c r="G110" i="75"/>
  <c r="G105" i="75"/>
  <c r="G109" i="75"/>
  <c r="G128" i="75"/>
  <c r="G121" i="75"/>
  <c r="G68" i="75"/>
  <c r="G70" i="75"/>
  <c r="G73" i="75"/>
  <c r="G69" i="75"/>
  <c r="G81" i="75"/>
  <c r="G124" i="75"/>
  <c r="G85" i="75"/>
  <c r="G88" i="75"/>
  <c r="G76" i="75"/>
  <c r="G79" i="75"/>
  <c r="G99" i="75"/>
  <c r="G97" i="75"/>
  <c r="G74" i="75"/>
  <c r="G66" i="75"/>
  <c r="G89" i="75"/>
  <c r="G98" i="75"/>
  <c r="G96" i="75"/>
  <c r="G116" i="75"/>
  <c r="G93" i="75"/>
  <c r="G118" i="75"/>
  <c r="G101" i="75"/>
  <c r="G102" i="75"/>
  <c r="G67" i="75"/>
  <c r="G120" i="75"/>
  <c r="H6" i="120"/>
  <c r="BG3" i="115" s="1"/>
  <c r="D4" i="109" s="1"/>
  <c r="E3" i="120"/>
  <c r="G94" i="75"/>
  <c r="G92" i="75"/>
  <c r="G86" i="75"/>
  <c r="G82" i="75"/>
  <c r="G107" i="75"/>
  <c r="G126" i="75"/>
  <c r="G83" i="75"/>
  <c r="G77" i="75"/>
  <c r="G108" i="75"/>
  <c r="G80" i="75"/>
  <c r="G103" i="75"/>
  <c r="G95" i="75"/>
  <c r="G112" i="75"/>
  <c r="G87" i="75"/>
  <c r="G129" i="75"/>
  <c r="G78" i="75"/>
  <c r="G100" i="75"/>
  <c r="G84" i="75"/>
  <c r="G125" i="75"/>
  <c r="G123" i="75"/>
  <c r="G113" i="75"/>
  <c r="G117" i="75"/>
  <c r="G106" i="75"/>
  <c r="G91" i="75"/>
  <c r="G130" i="75"/>
  <c r="G71" i="75"/>
  <c r="H63" i="120"/>
  <c r="BG6" i="115" s="1"/>
  <c r="H127" i="120"/>
  <c r="BG4" i="115" s="1"/>
  <c r="D65" i="109" s="1"/>
  <c r="E127" i="120"/>
  <c r="E8" i="119"/>
  <c r="BG5" i="115"/>
  <c r="H22" i="120"/>
  <c r="E19" i="120"/>
  <c r="E31" i="120"/>
  <c r="H31" i="120"/>
  <c r="BG10" i="115" s="1"/>
  <c r="D17" i="109" s="1"/>
  <c r="E51" i="120"/>
  <c r="H54" i="120"/>
  <c r="H30" i="120"/>
  <c r="E27" i="120"/>
  <c r="E107" i="120"/>
  <c r="H110" i="120"/>
  <c r="E43" i="120"/>
  <c r="H46" i="120"/>
  <c r="E79" i="120"/>
  <c r="H79" i="120"/>
  <c r="BG16" i="115" s="1"/>
  <c r="H103" i="120"/>
  <c r="BG27" i="115" s="1"/>
  <c r="D53" i="109" s="1"/>
  <c r="E103" i="120"/>
  <c r="E39" i="120"/>
  <c r="H39" i="120"/>
  <c r="BG29" i="115" s="1"/>
  <c r="D21" i="109" s="1"/>
  <c r="G43" i="75"/>
  <c r="G44" i="75"/>
  <c r="G36" i="75"/>
  <c r="G30" i="75"/>
  <c r="G42" i="75"/>
  <c r="G55" i="75"/>
  <c r="G64" i="75"/>
  <c r="G20" i="75"/>
  <c r="G26" i="75"/>
  <c r="G49" i="75"/>
  <c r="G19" i="75"/>
  <c r="G58" i="75"/>
  <c r="G54" i="75"/>
  <c r="G17" i="75"/>
  <c r="G39" i="75"/>
  <c r="G4" i="75"/>
  <c r="G27" i="75"/>
  <c r="G24" i="75"/>
  <c r="G62" i="75"/>
  <c r="G33" i="75"/>
  <c r="G51" i="75"/>
  <c r="G37" i="75"/>
  <c r="G29" i="75"/>
  <c r="E7" i="120"/>
  <c r="G60" i="75"/>
  <c r="G15" i="75"/>
  <c r="G40" i="75"/>
  <c r="G35" i="75"/>
  <c r="G34" i="75"/>
  <c r="G45" i="75"/>
  <c r="G57" i="75"/>
  <c r="G47" i="75"/>
  <c r="G3" i="75"/>
  <c r="G13" i="75"/>
  <c r="G14" i="75"/>
  <c r="G65" i="75"/>
  <c r="G10" i="75"/>
  <c r="G9" i="75"/>
  <c r="G59" i="75"/>
  <c r="G6" i="75"/>
  <c r="H7" i="120"/>
  <c r="G5" i="75"/>
  <c r="G16" i="75"/>
  <c r="G63" i="75"/>
  <c r="G18" i="75"/>
  <c r="G25" i="75"/>
  <c r="G23" i="75"/>
  <c r="G8" i="75"/>
  <c r="G50" i="75"/>
  <c r="G46" i="75"/>
  <c r="G31" i="75"/>
  <c r="G28" i="75"/>
  <c r="G61" i="75"/>
  <c r="G41" i="75"/>
  <c r="G7" i="75"/>
  <c r="G53" i="75"/>
  <c r="G32" i="75"/>
  <c r="G11" i="75"/>
  <c r="G56" i="75"/>
  <c r="G38" i="75"/>
  <c r="G48" i="75"/>
  <c r="G21" i="75"/>
  <c r="G52" i="75"/>
  <c r="G12" i="75"/>
  <c r="G22" i="75"/>
  <c r="E91" i="120"/>
  <c r="H94" i="120"/>
  <c r="E11" i="120"/>
  <c r="H14" i="120"/>
  <c r="H23" i="120"/>
  <c r="BG25" i="115" s="1"/>
  <c r="D13" i="109" s="1"/>
  <c r="E23" i="120"/>
  <c r="H47" i="120"/>
  <c r="E47" i="120"/>
  <c r="H119" i="120"/>
  <c r="BG20" i="115" s="1"/>
  <c r="E119" i="120"/>
  <c r="H118" i="120"/>
  <c r="E115" i="120"/>
  <c r="E95" i="120"/>
  <c r="H95" i="120"/>
  <c r="BG8" i="115" s="1"/>
  <c r="D49" i="109" s="1"/>
  <c r="E59" i="120"/>
  <c r="H62" i="120"/>
  <c r="E75" i="120"/>
  <c r="H78" i="120"/>
  <c r="E35" i="120"/>
  <c r="H38" i="120"/>
  <c r="E87" i="120"/>
  <c r="H87" i="120"/>
  <c r="BG23" i="115" s="1"/>
  <c r="D45" i="109" s="1"/>
  <c r="E123" i="120"/>
  <c r="H126" i="120"/>
  <c r="H102" i="120"/>
  <c r="E99" i="120"/>
  <c r="E111" i="120"/>
  <c r="H111" i="120"/>
  <c r="BG12" i="115" s="1"/>
  <c r="H86" i="120"/>
  <c r="E83" i="120"/>
  <c r="H71" i="120"/>
  <c r="E71" i="120"/>
  <c r="H15" i="120"/>
  <c r="BG18" i="115" s="1"/>
  <c r="D9" i="109" s="1"/>
  <c r="E15" i="120"/>
  <c r="H55" i="120"/>
  <c r="BG21" i="115" s="1"/>
  <c r="D29" i="109" s="1"/>
  <c r="E55" i="120"/>
  <c r="E13" i="119"/>
  <c r="E12" i="119"/>
  <c r="E9" i="119"/>
  <c r="Z6" i="115"/>
  <c r="I17" i="118" s="1"/>
  <c r="X6" i="115"/>
  <c r="E8" i="118" s="1"/>
  <c r="Z3" i="115"/>
  <c r="I7" i="118" s="1"/>
  <c r="X4" i="115"/>
  <c r="E4" i="118" s="1"/>
  <c r="C4" i="123"/>
  <c r="G24" i="15"/>
  <c r="R1" i="5"/>
  <c r="G22" i="15"/>
  <c r="G20" i="15"/>
  <c r="D36" i="109" l="1"/>
  <c r="D33" i="109"/>
  <c r="BG22" i="115"/>
  <c r="D40" i="109" s="1"/>
  <c r="L75" i="120"/>
  <c r="BI16" i="115" s="1"/>
  <c r="I77" i="120"/>
  <c r="I93" i="120"/>
  <c r="BG30" i="115"/>
  <c r="D48" i="109" s="1"/>
  <c r="L91" i="120"/>
  <c r="BI8" i="115" s="1"/>
  <c r="BG11" i="115"/>
  <c r="D12" i="109" s="1"/>
  <c r="L26" i="120"/>
  <c r="I21" i="120"/>
  <c r="BG31" i="115"/>
  <c r="D37" i="109" s="1"/>
  <c r="L74" i="120"/>
  <c r="I69" i="120"/>
  <c r="BG17" i="115"/>
  <c r="D60" i="109" s="1"/>
  <c r="L122" i="120"/>
  <c r="I117" i="120"/>
  <c r="BG13" i="115"/>
  <c r="BG14" i="115"/>
  <c r="D41" i="109"/>
  <c r="I109" i="120"/>
  <c r="BG26" i="115"/>
  <c r="D56" i="109" s="1"/>
  <c r="L107" i="120"/>
  <c r="BI12" i="115" s="1"/>
  <c r="BG15" i="115"/>
  <c r="D28" i="109" s="1"/>
  <c r="I53" i="120"/>
  <c r="L58" i="120"/>
  <c r="D57" i="109"/>
  <c r="I125" i="120"/>
  <c r="BG34" i="115"/>
  <c r="D64" i="109" s="1"/>
  <c r="L123" i="120"/>
  <c r="BI4" i="115" s="1"/>
  <c r="I37" i="120"/>
  <c r="BG7" i="115"/>
  <c r="D20" i="109" s="1"/>
  <c r="L42" i="120"/>
  <c r="BG32" i="115"/>
  <c r="D32" i="109" s="1"/>
  <c r="L59" i="120"/>
  <c r="BI6" i="115" s="1"/>
  <c r="I61" i="120"/>
  <c r="BG19" i="115"/>
  <c r="D8" i="109" s="1"/>
  <c r="L11" i="120"/>
  <c r="BI18" i="115" s="1"/>
  <c r="I13" i="120"/>
  <c r="L10" i="120"/>
  <c r="BG33" i="115"/>
  <c r="D5" i="109" s="1"/>
  <c r="I5" i="120"/>
  <c r="L27" i="120"/>
  <c r="BI10" i="115" s="1"/>
  <c r="I29" i="120"/>
  <c r="BG28" i="115"/>
  <c r="D16" i="109" s="1"/>
  <c r="H15" i="109" s="1"/>
  <c r="I85" i="120"/>
  <c r="L90" i="120"/>
  <c r="BG9" i="115"/>
  <c r="D52" i="109" s="1"/>
  <c r="L106" i="120"/>
  <c r="I101" i="120"/>
  <c r="D61" i="109"/>
  <c r="I45" i="120"/>
  <c r="BG24" i="115"/>
  <c r="D24" i="109" s="1"/>
  <c r="L43" i="120"/>
  <c r="BI14" i="115" s="1"/>
  <c r="E5" i="118"/>
  <c r="I16" i="118"/>
  <c r="E9" i="118"/>
  <c r="C5" i="123"/>
  <c r="I6" i="118"/>
  <c r="S1" i="5"/>
  <c r="G23" i="15"/>
  <c r="G21" i="15"/>
  <c r="E11" i="109" l="1"/>
  <c r="H14" i="109"/>
  <c r="AT11" i="115" s="1"/>
  <c r="D8" i="110" s="1"/>
  <c r="E27" i="109"/>
  <c r="H30" i="109"/>
  <c r="AT15" i="115" s="1"/>
  <c r="D16" i="110" s="1"/>
  <c r="E15" i="109"/>
  <c r="E39" i="109"/>
  <c r="H54" i="109"/>
  <c r="E51" i="109"/>
  <c r="BI3" i="115"/>
  <c r="P18" i="120"/>
  <c r="M9" i="120"/>
  <c r="H22" i="109"/>
  <c r="E19" i="109"/>
  <c r="P51" i="120"/>
  <c r="BK6" i="115" s="1"/>
  <c r="BI15" i="115"/>
  <c r="M57" i="120"/>
  <c r="E55" i="109"/>
  <c r="H55" i="109"/>
  <c r="AT12" i="115" s="1"/>
  <c r="D29" i="110" s="1"/>
  <c r="D44" i="109"/>
  <c r="D25" i="109"/>
  <c r="H57" i="75" s="1"/>
  <c r="E59" i="109"/>
  <c r="H62" i="109"/>
  <c r="P83" i="120"/>
  <c r="BK8" i="115" s="1"/>
  <c r="BI13" i="115"/>
  <c r="M89" i="120"/>
  <c r="E47" i="109"/>
  <c r="H47" i="109"/>
  <c r="AT8" i="115" s="1"/>
  <c r="D25" i="110" s="1"/>
  <c r="BI9" i="115"/>
  <c r="P114" i="120"/>
  <c r="M105" i="120"/>
  <c r="AT10" i="115"/>
  <c r="D9" i="110" s="1"/>
  <c r="H29" i="75"/>
  <c r="E3" i="109"/>
  <c r="H25" i="75"/>
  <c r="H34" i="75"/>
  <c r="H6" i="109"/>
  <c r="P50" i="120"/>
  <c r="BI7" i="115"/>
  <c r="M41" i="120"/>
  <c r="E63" i="109"/>
  <c r="H63" i="109"/>
  <c r="AT4" i="115" s="1"/>
  <c r="D33" i="110" s="1"/>
  <c r="M121" i="120"/>
  <c r="BI17" i="115"/>
  <c r="P115" i="120"/>
  <c r="BK4" i="115" s="1"/>
  <c r="H38" i="109"/>
  <c r="E35" i="109"/>
  <c r="H7" i="109"/>
  <c r="AT18" i="115" s="1"/>
  <c r="D5" i="110" s="1"/>
  <c r="E7" i="109"/>
  <c r="H31" i="109"/>
  <c r="AT6" i="115" s="1"/>
  <c r="D17" i="110" s="1"/>
  <c r="E31" i="109"/>
  <c r="M73" i="120"/>
  <c r="BI5" i="115"/>
  <c r="P82" i="120"/>
  <c r="M25" i="120"/>
  <c r="BI11" i="115"/>
  <c r="P19" i="120"/>
  <c r="BK10" i="115" s="1"/>
  <c r="H39" i="109"/>
  <c r="AT16" i="115" s="1"/>
  <c r="D21" i="110" s="1"/>
  <c r="D4" i="123"/>
  <c r="G30" i="15"/>
  <c r="R1" i="6"/>
  <c r="G28" i="15"/>
  <c r="G26" i="15"/>
  <c r="H83" i="75" l="1"/>
  <c r="H87" i="75"/>
  <c r="H104" i="75"/>
  <c r="H71" i="75"/>
  <c r="H68" i="75"/>
  <c r="H94" i="75"/>
  <c r="H76" i="75"/>
  <c r="H75" i="75"/>
  <c r="H95" i="75"/>
  <c r="H105" i="75"/>
  <c r="H90" i="75"/>
  <c r="H92" i="75"/>
  <c r="H109" i="75"/>
  <c r="H114" i="75"/>
  <c r="H100" i="75"/>
  <c r="H110" i="75"/>
  <c r="H69" i="75"/>
  <c r="H112" i="75"/>
  <c r="H102" i="75"/>
  <c r="H120" i="75"/>
  <c r="H101" i="75"/>
  <c r="H124" i="75"/>
  <c r="H66" i="75"/>
  <c r="H123" i="75"/>
  <c r="H78" i="75"/>
  <c r="H88" i="75"/>
  <c r="H103" i="75"/>
  <c r="H72" i="75"/>
  <c r="H128" i="75"/>
  <c r="H82" i="75"/>
  <c r="H93" i="75"/>
  <c r="H85" i="75"/>
  <c r="H118" i="75"/>
  <c r="H122" i="75"/>
  <c r="H81" i="75"/>
  <c r="H106" i="75"/>
  <c r="H127" i="75"/>
  <c r="H116" i="75"/>
  <c r="H97" i="75"/>
  <c r="H98" i="75"/>
  <c r="H99" i="75"/>
  <c r="H91" i="75"/>
  <c r="H130" i="75"/>
  <c r="H80" i="75"/>
  <c r="H108" i="75"/>
  <c r="H73" i="75"/>
  <c r="H77" i="75"/>
  <c r="H70" i="75"/>
  <c r="H119" i="75"/>
  <c r="H86" i="75"/>
  <c r="H96" i="75"/>
  <c r="H111" i="75"/>
  <c r="H115" i="75"/>
  <c r="H113" i="75"/>
  <c r="H67" i="75"/>
  <c r="H121" i="75"/>
  <c r="H79" i="75"/>
  <c r="H84" i="75"/>
  <c r="H107" i="75"/>
  <c r="H126" i="75"/>
  <c r="H117" i="75"/>
  <c r="H74" i="75"/>
  <c r="H89" i="75"/>
  <c r="H125" i="75"/>
  <c r="H129" i="75"/>
  <c r="I13" i="109"/>
  <c r="L11" i="109"/>
  <c r="AV10" i="115" s="1"/>
  <c r="H35" i="75"/>
  <c r="H23" i="109"/>
  <c r="AT14" i="115" s="1"/>
  <c r="D13" i="110" s="1"/>
  <c r="H48" i="75"/>
  <c r="H36" i="75"/>
  <c r="H8" i="75"/>
  <c r="E23" i="109"/>
  <c r="H13" i="75"/>
  <c r="H43" i="75"/>
  <c r="H30" i="75"/>
  <c r="H26" i="75"/>
  <c r="H3" i="75"/>
  <c r="H33" i="75"/>
  <c r="H40" i="75"/>
  <c r="H17" i="75"/>
  <c r="H42" i="75"/>
  <c r="H28" i="75"/>
  <c r="H11" i="75"/>
  <c r="H37" i="75"/>
  <c r="H15" i="75"/>
  <c r="H4" i="75"/>
  <c r="H52" i="75"/>
  <c r="H19" i="75"/>
  <c r="H18" i="75"/>
  <c r="H7" i="75"/>
  <c r="H46" i="75"/>
  <c r="H39" i="75"/>
  <c r="H62" i="75"/>
  <c r="H51" i="75"/>
  <c r="H23" i="75"/>
  <c r="H9" i="75"/>
  <c r="H60" i="75"/>
  <c r="H56" i="75"/>
  <c r="H24" i="75"/>
  <c r="H49" i="75"/>
  <c r="H44" i="75"/>
  <c r="H21" i="75"/>
  <c r="H20" i="75"/>
  <c r="H5" i="75"/>
  <c r="H47" i="75"/>
  <c r="H41" i="75"/>
  <c r="H50" i="75"/>
  <c r="H55" i="75"/>
  <c r="H38" i="75"/>
  <c r="H6" i="75"/>
  <c r="H54" i="75"/>
  <c r="H14" i="75"/>
  <c r="H45" i="75"/>
  <c r="H10" i="75"/>
  <c r="H12" i="75"/>
  <c r="H63" i="75"/>
  <c r="H61" i="75"/>
  <c r="H16" i="75"/>
  <c r="H58" i="75"/>
  <c r="H31" i="75"/>
  <c r="H22" i="75"/>
  <c r="H64" i="75"/>
  <c r="H65" i="75"/>
  <c r="H32" i="75"/>
  <c r="H59" i="75"/>
  <c r="H27" i="75"/>
  <c r="H53" i="75"/>
  <c r="AT5" i="115"/>
  <c r="D20" i="110" s="1"/>
  <c r="I37" i="109"/>
  <c r="L42" i="109"/>
  <c r="D9" i="56"/>
  <c r="E15" i="110"/>
  <c r="H15" i="110"/>
  <c r="AI6" i="115" s="1"/>
  <c r="D9" i="119" s="1"/>
  <c r="Q113" i="120"/>
  <c r="BK9" i="115"/>
  <c r="T99" i="120"/>
  <c r="BM4" i="115" s="1"/>
  <c r="H7" i="110"/>
  <c r="AI10" i="115" s="1"/>
  <c r="D5" i="119" s="1"/>
  <c r="D5" i="56"/>
  <c r="E7" i="110"/>
  <c r="BK7" i="115"/>
  <c r="T35" i="120"/>
  <c r="BM6" i="115" s="1"/>
  <c r="Q49" i="120"/>
  <c r="AT17" i="115"/>
  <c r="D32" i="110" s="1"/>
  <c r="L59" i="109"/>
  <c r="AV4" i="115" s="1"/>
  <c r="I61" i="109"/>
  <c r="T34" i="120"/>
  <c r="BK3" i="115"/>
  <c r="Q17" i="120"/>
  <c r="Q81" i="120"/>
  <c r="T98" i="120"/>
  <c r="BK5" i="115"/>
  <c r="H46" i="109"/>
  <c r="E43" i="109"/>
  <c r="I53" i="109"/>
  <c r="AT9" i="115"/>
  <c r="D28" i="110" s="1"/>
  <c r="L58" i="109"/>
  <c r="L27" i="109"/>
  <c r="AV6" i="115" s="1"/>
  <c r="AT3" i="115"/>
  <c r="D4" i="110" s="1"/>
  <c r="I5" i="109"/>
  <c r="L10" i="109"/>
  <c r="AT7" i="115"/>
  <c r="D12" i="110" s="1"/>
  <c r="I29" i="109"/>
  <c r="D5" i="123"/>
  <c r="BD5" i="115"/>
  <c r="G27" i="15"/>
  <c r="S1" i="6"/>
  <c r="G29" i="15"/>
  <c r="H14" i="110" l="1"/>
  <c r="I13" i="110" s="1"/>
  <c r="I21" i="109"/>
  <c r="L26" i="109"/>
  <c r="AV7" i="115" s="1"/>
  <c r="H31" i="110"/>
  <c r="AI4" i="115" s="1"/>
  <c r="D17" i="119" s="1"/>
  <c r="E31" i="110"/>
  <c r="E19" i="110"/>
  <c r="D12" i="56"/>
  <c r="H22" i="110"/>
  <c r="E11" i="110"/>
  <c r="D8" i="56"/>
  <c r="H6" i="110"/>
  <c r="E3" i="110"/>
  <c r="D4" i="56"/>
  <c r="X67" i="120"/>
  <c r="BO4" i="115" s="1"/>
  <c r="BM5" i="115"/>
  <c r="X107" i="120"/>
  <c r="BO5" i="115" s="1"/>
  <c r="U97" i="120"/>
  <c r="P19" i="109"/>
  <c r="AX6" i="115" s="1"/>
  <c r="D16" i="56"/>
  <c r="E27" i="110"/>
  <c r="AV5" i="115"/>
  <c r="D17" i="56"/>
  <c r="M9" i="109"/>
  <c r="AV3" i="115"/>
  <c r="P18" i="109"/>
  <c r="AV9" i="115"/>
  <c r="M57" i="109"/>
  <c r="P51" i="109"/>
  <c r="AX4" i="115" s="1"/>
  <c r="AT13" i="115"/>
  <c r="D24" i="110" s="1"/>
  <c r="L43" i="109"/>
  <c r="AV8" i="115" s="1"/>
  <c r="I45" i="109"/>
  <c r="X66" i="120"/>
  <c r="X106" i="120"/>
  <c r="U33" i="120"/>
  <c r="BM3" i="115"/>
  <c r="H30" i="110"/>
  <c r="E4" i="123"/>
  <c r="G32" i="15"/>
  <c r="R1" i="7"/>
  <c r="G34" i="15"/>
  <c r="G36" i="15"/>
  <c r="M25" i="109" l="1"/>
  <c r="AI7" i="115"/>
  <c r="D8" i="119" s="1"/>
  <c r="E7" i="119" s="1"/>
  <c r="L11" i="110"/>
  <c r="AK6" i="115" s="1"/>
  <c r="BO6" i="115"/>
  <c r="Y105" i="120"/>
  <c r="E23" i="110"/>
  <c r="D13" i="56"/>
  <c r="H14" i="56" s="1"/>
  <c r="H23" i="110"/>
  <c r="AI8" i="115" s="1"/>
  <c r="D13" i="119" s="1"/>
  <c r="T34" i="109"/>
  <c r="T56" i="109"/>
  <c r="AX3" i="115"/>
  <c r="Q17" i="109"/>
  <c r="E15" i="56"/>
  <c r="H15" i="56"/>
  <c r="H31" i="56"/>
  <c r="H22" i="56"/>
  <c r="E3" i="56"/>
  <c r="H6" i="56"/>
  <c r="P50" i="109"/>
  <c r="I26" i="75"/>
  <c r="I19" i="75"/>
  <c r="I38" i="75"/>
  <c r="I109" i="75"/>
  <c r="I23" i="75"/>
  <c r="I11" i="75"/>
  <c r="I63" i="75"/>
  <c r="I100" i="75"/>
  <c r="I41" i="75"/>
  <c r="I50" i="75"/>
  <c r="I86" i="75"/>
  <c r="I129" i="75"/>
  <c r="I27" i="75"/>
  <c r="I107" i="75"/>
  <c r="I68" i="75"/>
  <c r="I59" i="75"/>
  <c r="I104" i="75"/>
  <c r="I45" i="75"/>
  <c r="I119" i="75"/>
  <c r="I116" i="75"/>
  <c r="I91" i="75"/>
  <c r="I35" i="75"/>
  <c r="I84" i="75"/>
  <c r="I95" i="75"/>
  <c r="I102" i="75"/>
  <c r="I34" i="75"/>
  <c r="I110" i="75"/>
  <c r="I87" i="75"/>
  <c r="I111" i="75"/>
  <c r="I30" i="75"/>
  <c r="I52" i="75"/>
  <c r="I55" i="75"/>
  <c r="E7" i="56"/>
  <c r="H23" i="56"/>
  <c r="H7" i="56"/>
  <c r="I29" i="75"/>
  <c r="I76" i="75"/>
  <c r="I73" i="75"/>
  <c r="I105" i="75"/>
  <c r="I43" i="75"/>
  <c r="I97" i="75"/>
  <c r="I82" i="75"/>
  <c r="I37" i="75"/>
  <c r="I33" i="75"/>
  <c r="I47" i="75"/>
  <c r="I99" i="75"/>
  <c r="I18" i="75"/>
  <c r="I60" i="75"/>
  <c r="I5" i="75"/>
  <c r="I126" i="75"/>
  <c r="I46" i="75"/>
  <c r="I48" i="75"/>
  <c r="I94" i="75"/>
  <c r="I25" i="75"/>
  <c r="I128" i="75"/>
  <c r="I83" i="75"/>
  <c r="I16" i="75"/>
  <c r="I67" i="75"/>
  <c r="I22" i="75"/>
  <c r="I40" i="75"/>
  <c r="I75" i="75"/>
  <c r="I70" i="75"/>
  <c r="I85" i="75"/>
  <c r="I79" i="75"/>
  <c r="I108" i="75"/>
  <c r="I106" i="75"/>
  <c r="I77" i="75"/>
  <c r="AI3" i="115"/>
  <c r="D4" i="119" s="1"/>
  <c r="I5" i="110"/>
  <c r="L10" i="110"/>
  <c r="M41" i="109"/>
  <c r="I103" i="75"/>
  <c r="I42" i="75"/>
  <c r="I21" i="75"/>
  <c r="I101" i="75"/>
  <c r="I127" i="75"/>
  <c r="I15" i="75"/>
  <c r="I93" i="75"/>
  <c r="I53" i="75"/>
  <c r="I20" i="75"/>
  <c r="I121" i="75"/>
  <c r="I92" i="75"/>
  <c r="I130" i="75"/>
  <c r="I13" i="75"/>
  <c r="I74" i="75"/>
  <c r="I72" i="75"/>
  <c r="I6" i="75"/>
  <c r="I49" i="75"/>
  <c r="I36" i="75"/>
  <c r="I123" i="75"/>
  <c r="I7" i="75"/>
  <c r="I96" i="75"/>
  <c r="I32" i="75"/>
  <c r="I51" i="75"/>
  <c r="I120" i="75"/>
  <c r="I114" i="75"/>
  <c r="I44" i="75"/>
  <c r="I115" i="75"/>
  <c r="I112" i="75"/>
  <c r="I12" i="75"/>
  <c r="I98" i="75"/>
  <c r="I124" i="75"/>
  <c r="L27" i="110"/>
  <c r="AK4" i="115" s="1"/>
  <c r="I29" i="110"/>
  <c r="AI9" i="115"/>
  <c r="D16" i="119" s="1"/>
  <c r="BO3" i="115"/>
  <c r="Y65" i="120"/>
  <c r="AI5" i="115"/>
  <c r="D12" i="119" s="1"/>
  <c r="I118" i="75"/>
  <c r="I31" i="75"/>
  <c r="I78" i="75"/>
  <c r="I10" i="75"/>
  <c r="I56" i="75"/>
  <c r="I88" i="75"/>
  <c r="I122" i="75"/>
  <c r="I113" i="75"/>
  <c r="I61" i="75"/>
  <c r="I117" i="75"/>
  <c r="I4" i="75"/>
  <c r="I69" i="75"/>
  <c r="I90" i="75"/>
  <c r="I125" i="75"/>
  <c r="I28" i="75"/>
  <c r="I65" i="75"/>
  <c r="I54" i="75"/>
  <c r="I57" i="75"/>
  <c r="I66" i="75"/>
  <c r="I62" i="75"/>
  <c r="I24" i="75"/>
  <c r="I89" i="75"/>
  <c r="I14" i="75"/>
  <c r="I81" i="75"/>
  <c r="I9" i="75"/>
  <c r="I17" i="75"/>
  <c r="I3" i="75"/>
  <c r="I58" i="75"/>
  <c r="I80" i="75"/>
  <c r="I64" i="75"/>
  <c r="I71" i="75"/>
  <c r="I39" i="75"/>
  <c r="I8" i="75"/>
  <c r="E5" i="123"/>
  <c r="G35" i="15"/>
  <c r="G33" i="15"/>
  <c r="S1" i="7"/>
  <c r="H7" i="119" l="1"/>
  <c r="W6" i="115" s="1"/>
  <c r="D5" i="118" s="1"/>
  <c r="D5" i="55"/>
  <c r="E11" i="56"/>
  <c r="H30" i="56"/>
  <c r="L35" i="56" s="1"/>
  <c r="L26" i="110"/>
  <c r="M25" i="110" s="1"/>
  <c r="I21" i="110"/>
  <c r="AK3" i="115"/>
  <c r="P32" i="110"/>
  <c r="T32" i="110" s="1"/>
  <c r="AQ5" i="115" s="1"/>
  <c r="P18" i="110"/>
  <c r="T19" i="110" s="1"/>
  <c r="AO4" i="115" s="1"/>
  <c r="M9" i="110"/>
  <c r="L34" i="56"/>
  <c r="I21" i="56"/>
  <c r="L26" i="56"/>
  <c r="P27" i="56" s="1"/>
  <c r="AE16" i="115" s="1"/>
  <c r="I16" i="115" s="1"/>
  <c r="AZ3" i="115"/>
  <c r="E11" i="119"/>
  <c r="D8" i="55"/>
  <c r="H14" i="119"/>
  <c r="H15" i="119"/>
  <c r="D9" i="55"/>
  <c r="E15" i="119"/>
  <c r="L19" i="56"/>
  <c r="P19" i="56" s="1"/>
  <c r="AE14" i="115" s="1"/>
  <c r="I14" i="115" s="1"/>
  <c r="B13" i="116" s="1"/>
  <c r="F13" i="116" s="1"/>
  <c r="C13" i="116" s="1"/>
  <c r="I13" i="56"/>
  <c r="L11" i="56"/>
  <c r="P10" i="56" s="1"/>
  <c r="AE11" i="115" s="1"/>
  <c r="I11" i="115" s="1"/>
  <c r="B10" i="116" s="1"/>
  <c r="F10" i="116" s="1"/>
  <c r="C10" i="116" s="1"/>
  <c r="J90" i="75"/>
  <c r="J43" i="75"/>
  <c r="J77" i="75"/>
  <c r="J33" i="75"/>
  <c r="J100" i="75"/>
  <c r="J8" i="75"/>
  <c r="J128" i="75"/>
  <c r="J66" i="75"/>
  <c r="J27" i="75"/>
  <c r="J74" i="75"/>
  <c r="J61" i="75"/>
  <c r="J56" i="75"/>
  <c r="J110" i="75"/>
  <c r="J70" i="75"/>
  <c r="J80" i="75"/>
  <c r="J92" i="75"/>
  <c r="J38" i="75"/>
  <c r="J45" i="75"/>
  <c r="J126" i="75"/>
  <c r="J59" i="75"/>
  <c r="J49" i="75"/>
  <c r="J4" i="75"/>
  <c r="J11" i="75"/>
  <c r="J125" i="75"/>
  <c r="J93" i="75"/>
  <c r="J25" i="75"/>
  <c r="J130" i="75"/>
  <c r="J39" i="75"/>
  <c r="J109" i="75"/>
  <c r="J58" i="75"/>
  <c r="J57" i="75"/>
  <c r="J116" i="75"/>
  <c r="J5" i="75"/>
  <c r="J85" i="75"/>
  <c r="J69" i="75"/>
  <c r="J34" i="75"/>
  <c r="J71" i="75"/>
  <c r="J22" i="75"/>
  <c r="J84" i="75"/>
  <c r="J79" i="75"/>
  <c r="J53" i="75"/>
  <c r="J31" i="75"/>
  <c r="J24" i="75"/>
  <c r="J46" i="75"/>
  <c r="J99" i="75"/>
  <c r="J18" i="75"/>
  <c r="J86" i="75"/>
  <c r="J88" i="75"/>
  <c r="J120" i="75"/>
  <c r="J123" i="75"/>
  <c r="J129" i="75"/>
  <c r="J44" i="75"/>
  <c r="J119" i="75"/>
  <c r="J72" i="75"/>
  <c r="J40" i="75"/>
  <c r="J76" i="75"/>
  <c r="J118" i="75"/>
  <c r="J108" i="75"/>
  <c r="J121" i="75"/>
  <c r="J30" i="75"/>
  <c r="J20" i="75"/>
  <c r="J23" i="75"/>
  <c r="J54" i="75"/>
  <c r="J14" i="75"/>
  <c r="J6" i="75"/>
  <c r="J75" i="75"/>
  <c r="J64" i="75"/>
  <c r="J124" i="75"/>
  <c r="J63" i="75"/>
  <c r="J73" i="75"/>
  <c r="J9" i="75"/>
  <c r="D4" i="55"/>
  <c r="J35" i="75"/>
  <c r="J82" i="75"/>
  <c r="J29" i="75"/>
  <c r="J104" i="75"/>
  <c r="E3" i="119"/>
  <c r="J127" i="75"/>
  <c r="J48" i="75"/>
  <c r="J103" i="75"/>
  <c r="J94" i="75"/>
  <c r="J3" i="75"/>
  <c r="J101" i="75"/>
  <c r="J32" i="75"/>
  <c r="J21" i="75"/>
  <c r="J36" i="75"/>
  <c r="J117" i="75"/>
  <c r="J98" i="75"/>
  <c r="J87" i="75"/>
  <c r="J102" i="75"/>
  <c r="J67" i="75"/>
  <c r="J115" i="75"/>
  <c r="J28" i="75"/>
  <c r="J7" i="75"/>
  <c r="J60" i="75"/>
  <c r="J65" i="75"/>
  <c r="J37" i="75"/>
  <c r="J17" i="75"/>
  <c r="J55" i="75"/>
  <c r="J83" i="75"/>
  <c r="J41" i="75"/>
  <c r="J51" i="75"/>
  <c r="J47" i="75"/>
  <c r="J78" i="75"/>
  <c r="J26" i="75"/>
  <c r="J81" i="75"/>
  <c r="J106" i="75"/>
  <c r="J42" i="75"/>
  <c r="J95" i="75"/>
  <c r="J62" i="75"/>
  <c r="H6" i="119"/>
  <c r="J10" i="75"/>
  <c r="J105" i="75"/>
  <c r="J97" i="75"/>
  <c r="J96" i="75"/>
  <c r="J113" i="75"/>
  <c r="J111" i="75"/>
  <c r="J16" i="75"/>
  <c r="J68" i="75"/>
  <c r="J15" i="75"/>
  <c r="J52" i="75"/>
  <c r="J13" i="75"/>
  <c r="J19" i="75"/>
  <c r="J91" i="75"/>
  <c r="J12" i="75"/>
  <c r="J112" i="75"/>
  <c r="J89" i="75"/>
  <c r="J122" i="75"/>
  <c r="J50" i="75"/>
  <c r="J107" i="75"/>
  <c r="J114" i="75"/>
  <c r="AX5" i="115"/>
  <c r="Q49" i="109"/>
  <c r="T57" i="109"/>
  <c r="U55" i="109" s="1"/>
  <c r="T35" i="109"/>
  <c r="AZ4" i="115" s="1"/>
  <c r="L18" i="56"/>
  <c r="P18" i="56" s="1"/>
  <c r="AE13" i="115" s="1"/>
  <c r="I13" i="115" s="1"/>
  <c r="B12" i="116" s="1"/>
  <c r="F12" i="116" s="1"/>
  <c r="C12" i="116" s="1"/>
  <c r="L10" i="56"/>
  <c r="P11" i="56" s="1"/>
  <c r="AE12" i="115" s="1"/>
  <c r="I12" i="115" s="1"/>
  <c r="B11" i="116" s="1"/>
  <c r="F11" i="116" s="1"/>
  <c r="C11" i="116" s="1"/>
  <c r="I5" i="56"/>
  <c r="AZ6" i="115"/>
  <c r="A261" i="61"/>
  <c r="A273" i="61"/>
  <c r="A265" i="61"/>
  <c r="A257" i="61"/>
  <c r="F4" i="123"/>
  <c r="G42" i="15"/>
  <c r="G38" i="15"/>
  <c r="G40" i="15"/>
  <c r="R1" i="8"/>
  <c r="P35" i="56" l="1"/>
  <c r="AE18" i="115" s="1"/>
  <c r="I18" i="115" s="1"/>
  <c r="B17" i="116" s="1"/>
  <c r="F17" i="116" s="1"/>
  <c r="C17" i="116" s="1"/>
  <c r="P34" i="56"/>
  <c r="AE17" i="115" s="1"/>
  <c r="I17" i="115" s="1"/>
  <c r="B16" i="116" s="1"/>
  <c r="I29" i="56"/>
  <c r="L27" i="56"/>
  <c r="AK5" i="115"/>
  <c r="M17" i="56"/>
  <c r="P19" i="110"/>
  <c r="P33" i="110"/>
  <c r="M9" i="56"/>
  <c r="H7" i="55"/>
  <c r="L7" i="55" s="1"/>
  <c r="S8" i="115" s="1"/>
  <c r="I8" i="115" s="1"/>
  <c r="B7" i="116" s="1"/>
  <c r="F7" i="116" s="1"/>
  <c r="C7" i="116" s="1"/>
  <c r="E7" i="55"/>
  <c r="H13" i="55"/>
  <c r="M33" i="56"/>
  <c r="X57" i="109"/>
  <c r="BD6" i="115" s="1"/>
  <c r="AZ5" i="115"/>
  <c r="L11" i="119"/>
  <c r="W5" i="115"/>
  <c r="D8" i="118" s="1"/>
  <c r="L21" i="119"/>
  <c r="P21" i="119" s="1"/>
  <c r="AM6" i="115"/>
  <c r="Q31" i="110"/>
  <c r="L10" i="119"/>
  <c r="P11" i="119" s="1"/>
  <c r="AA4" i="115" s="1"/>
  <c r="I5" i="119"/>
  <c r="W3" i="115"/>
  <c r="L20" i="119"/>
  <c r="I13" i="119"/>
  <c r="W4" i="115"/>
  <c r="AM3" i="115"/>
  <c r="U33" i="109"/>
  <c r="H12" i="55"/>
  <c r="L12" i="55" s="1"/>
  <c r="S9" i="115" s="1"/>
  <c r="I9" i="115" s="1"/>
  <c r="H6" i="55"/>
  <c r="L6" i="55" s="1"/>
  <c r="S7" i="115" s="1"/>
  <c r="I7" i="115" s="1"/>
  <c r="B6" i="116" s="1"/>
  <c r="F6" i="116" s="1"/>
  <c r="C6" i="116" s="1"/>
  <c r="E3" i="55"/>
  <c r="F5" i="123"/>
  <c r="G257" i="61"/>
  <c r="H257" i="61"/>
  <c r="I257" i="61"/>
  <c r="H265" i="61"/>
  <c r="I265" i="61"/>
  <c r="G265" i="61"/>
  <c r="I261" i="61"/>
  <c r="H261" i="61"/>
  <c r="G261" i="61"/>
  <c r="H273" i="61"/>
  <c r="I273" i="61"/>
  <c r="G273" i="61"/>
  <c r="G41" i="15"/>
  <c r="S1" i="8"/>
  <c r="G39" i="15"/>
  <c r="AM4" i="115" l="1"/>
  <c r="T18" i="110"/>
  <c r="AO3" i="115" s="1"/>
  <c r="Y4" i="115"/>
  <c r="P10" i="119"/>
  <c r="AA3" i="115" s="1"/>
  <c r="L13" i="55"/>
  <c r="S10" i="115" s="1"/>
  <c r="I10" i="115" s="1"/>
  <c r="B9" i="116" s="1"/>
  <c r="F9" i="116" s="1"/>
  <c r="C9" i="116" s="1"/>
  <c r="B8" i="116"/>
  <c r="F8" i="116" s="1"/>
  <c r="C8" i="116" s="1"/>
  <c r="AC6" i="115"/>
  <c r="AA6" i="115"/>
  <c r="Y6" i="115"/>
  <c r="P20" i="119"/>
  <c r="AM5" i="115"/>
  <c r="T33" i="110"/>
  <c r="AQ6" i="115" s="1"/>
  <c r="M25" i="56"/>
  <c r="P26" i="56"/>
  <c r="AE15" i="115" s="1"/>
  <c r="I15" i="115" s="1"/>
  <c r="F16" i="116"/>
  <c r="C16" i="116" s="1"/>
  <c r="Q17" i="110"/>
  <c r="I5" i="55"/>
  <c r="I11" i="55"/>
  <c r="Y3" i="115"/>
  <c r="M9" i="119"/>
  <c r="D4" i="118"/>
  <c r="D9" i="118"/>
  <c r="E7" i="118" s="1"/>
  <c r="M19" i="119"/>
  <c r="Y5" i="115"/>
  <c r="G4" i="123"/>
  <c r="G44" i="15"/>
  <c r="G46" i="15"/>
  <c r="G48" i="15"/>
  <c r="R1" i="9"/>
  <c r="AA5" i="115" l="1"/>
  <c r="AC5" i="115"/>
  <c r="B15" i="116"/>
  <c r="F15" i="116" s="1"/>
  <c r="C15" i="116" s="1"/>
  <c r="B14" i="116"/>
  <c r="H7" i="118"/>
  <c r="K64" i="75"/>
  <c r="K32" i="75"/>
  <c r="K59" i="75"/>
  <c r="H6" i="118"/>
  <c r="L7" i="118" s="1"/>
  <c r="N4" i="115" s="1"/>
  <c r="I4" i="115" s="1"/>
  <c r="B3" i="116" s="1"/>
  <c r="F3" i="116" s="1"/>
  <c r="C3" i="116" s="1"/>
  <c r="K54" i="75"/>
  <c r="K116" i="75"/>
  <c r="K41" i="75"/>
  <c r="K110" i="75"/>
  <c r="K61" i="75"/>
  <c r="K58" i="75"/>
  <c r="K68" i="75"/>
  <c r="K82" i="75"/>
  <c r="K119" i="75"/>
  <c r="K8" i="75"/>
  <c r="K5" i="75"/>
  <c r="K47" i="75"/>
  <c r="K13" i="75"/>
  <c r="K56" i="75"/>
  <c r="K60" i="75"/>
  <c r="K108" i="75"/>
  <c r="K122" i="75"/>
  <c r="K15" i="75"/>
  <c r="K70" i="75"/>
  <c r="K27" i="75"/>
  <c r="K16" i="75"/>
  <c r="K44" i="75"/>
  <c r="K26" i="75"/>
  <c r="K11" i="75"/>
  <c r="K128" i="75"/>
  <c r="K90" i="75"/>
  <c r="K117" i="75"/>
  <c r="K21" i="75"/>
  <c r="K3" i="75"/>
  <c r="K79" i="75"/>
  <c r="K97" i="75"/>
  <c r="K28" i="75"/>
  <c r="K114" i="75"/>
  <c r="K38" i="75"/>
  <c r="K24" i="75"/>
  <c r="K51" i="75"/>
  <c r="K120" i="75"/>
  <c r="K127" i="75"/>
  <c r="K107" i="75"/>
  <c r="K4" i="75"/>
  <c r="K92" i="75"/>
  <c r="K10" i="75"/>
  <c r="K34" i="75"/>
  <c r="K100" i="75"/>
  <c r="K22" i="75"/>
  <c r="K18" i="75"/>
  <c r="K74" i="75"/>
  <c r="K106" i="75"/>
  <c r="K45" i="75"/>
  <c r="K14" i="75"/>
  <c r="K39" i="75"/>
  <c r="K17" i="75"/>
  <c r="K111" i="75"/>
  <c r="K48" i="75"/>
  <c r="K83" i="75"/>
  <c r="K126" i="75"/>
  <c r="K72" i="75"/>
  <c r="K71" i="75"/>
  <c r="K101" i="75"/>
  <c r="K37" i="75"/>
  <c r="K125" i="75"/>
  <c r="K86" i="75"/>
  <c r="K50" i="75"/>
  <c r="K35" i="75"/>
  <c r="K12" i="75"/>
  <c r="K65" i="75"/>
  <c r="K29" i="75"/>
  <c r="K99" i="75"/>
  <c r="K129" i="75"/>
  <c r="K95" i="75"/>
  <c r="K40" i="75"/>
  <c r="K33" i="75"/>
  <c r="K112" i="75"/>
  <c r="K124" i="75"/>
  <c r="K55" i="75"/>
  <c r="K63" i="75"/>
  <c r="K46" i="75"/>
  <c r="K62" i="75"/>
  <c r="K121" i="75"/>
  <c r="K23" i="75"/>
  <c r="K102" i="75"/>
  <c r="K36" i="75"/>
  <c r="E3" i="118"/>
  <c r="K30" i="75"/>
  <c r="K76" i="75"/>
  <c r="K6" i="75"/>
  <c r="K89" i="75"/>
  <c r="K7" i="75"/>
  <c r="K105" i="75"/>
  <c r="K109" i="75"/>
  <c r="K115" i="75"/>
  <c r="K118" i="75"/>
  <c r="K69" i="75"/>
  <c r="K43" i="75"/>
  <c r="K20" i="75"/>
  <c r="K104" i="75"/>
  <c r="K77" i="75"/>
  <c r="K73" i="75"/>
  <c r="K75" i="75"/>
  <c r="K84" i="75"/>
  <c r="K53" i="75"/>
  <c r="K80" i="75"/>
  <c r="K93" i="75"/>
  <c r="K113" i="75"/>
  <c r="K94" i="75"/>
  <c r="K130" i="75"/>
  <c r="K19" i="75"/>
  <c r="K96" i="75"/>
  <c r="K78" i="75"/>
  <c r="K42" i="75"/>
  <c r="K98" i="75"/>
  <c r="K85" i="75"/>
  <c r="K66" i="75"/>
  <c r="K67" i="75"/>
  <c r="K123" i="75"/>
  <c r="K88" i="75"/>
  <c r="K52" i="75"/>
  <c r="K81" i="75"/>
  <c r="K25" i="75"/>
  <c r="K91" i="75"/>
  <c r="K31" i="75"/>
  <c r="K49" i="75"/>
  <c r="K57" i="75"/>
  <c r="K103" i="75"/>
  <c r="K87" i="75"/>
  <c r="K9" i="75"/>
  <c r="H16" i="118"/>
  <c r="L16" i="118" s="1"/>
  <c r="P5" i="115" s="1"/>
  <c r="I5" i="115" s="1"/>
  <c r="B4" i="116" s="1"/>
  <c r="H17" i="118"/>
  <c r="L17" i="118" s="1"/>
  <c r="P6" i="115" s="1"/>
  <c r="I6" i="115" s="1"/>
  <c r="B5" i="116" s="1"/>
  <c r="F5" i="116" s="1"/>
  <c r="C5" i="116" s="1"/>
  <c r="G5" i="123"/>
  <c r="G45" i="15"/>
  <c r="S1" i="9"/>
  <c r="G47" i="15"/>
  <c r="L4" i="115" l="1"/>
  <c r="L6" i="118"/>
  <c r="N3" i="115" s="1"/>
  <c r="I3" i="115" s="1"/>
  <c r="B2" i="116" s="1"/>
  <c r="F2" i="116" s="1"/>
  <c r="C2" i="116" s="1"/>
  <c r="F4" i="116"/>
  <c r="C4" i="116" s="1"/>
  <c r="F14" i="116"/>
  <c r="C14" i="116" s="1"/>
  <c r="F106" i="75"/>
  <c r="F123" i="75"/>
  <c r="F25" i="75"/>
  <c r="E25" i="75" s="1"/>
  <c r="AH33" i="47" s="1"/>
  <c r="F20" i="75"/>
  <c r="E20" i="75" s="1"/>
  <c r="AH28" i="47" s="1"/>
  <c r="AJ28" i="47" s="1"/>
  <c r="F113" i="75"/>
  <c r="F11" i="75"/>
  <c r="F62" i="75"/>
  <c r="E62" i="75" s="1"/>
  <c r="AH70" i="47" s="1"/>
  <c r="F28" i="75"/>
  <c r="F84" i="75"/>
  <c r="F64" i="75"/>
  <c r="E64" i="75" s="1"/>
  <c r="AH72" i="47" s="1"/>
  <c r="F19" i="75"/>
  <c r="E19" i="75" s="1"/>
  <c r="AH27" i="47" s="1"/>
  <c r="AJ27" i="47" s="1"/>
  <c r="F45" i="75"/>
  <c r="E45" i="75" s="1"/>
  <c r="AH53" i="47" s="1"/>
  <c r="F115" i="75"/>
  <c r="F103" i="75"/>
  <c r="F120" i="75"/>
  <c r="F91" i="75"/>
  <c r="F75" i="75"/>
  <c r="F46" i="75"/>
  <c r="F34" i="75"/>
  <c r="E34" i="75" s="1"/>
  <c r="AH42" i="47" s="1"/>
  <c r="F85" i="75"/>
  <c r="F88" i="75"/>
  <c r="F98" i="75"/>
  <c r="F59" i="75"/>
  <c r="E59" i="75" s="1"/>
  <c r="AH67" i="47" s="1"/>
  <c r="AK67" i="47" s="1"/>
  <c r="F44" i="75"/>
  <c r="E44" i="75" s="1"/>
  <c r="AH52" i="47" s="1"/>
  <c r="F47" i="75"/>
  <c r="E47" i="75" s="1"/>
  <c r="AH55" i="47" s="1"/>
  <c r="F78" i="75"/>
  <c r="F30" i="75"/>
  <c r="E30" i="75" s="1"/>
  <c r="AH38" i="47" s="1"/>
  <c r="AI38" i="47" s="1"/>
  <c r="F122" i="75"/>
  <c r="F33" i="75"/>
  <c r="E33" i="75" s="1"/>
  <c r="AH41" i="47" s="1"/>
  <c r="AK41" i="47" s="1"/>
  <c r="F76" i="75"/>
  <c r="F60" i="75"/>
  <c r="E60" i="75" s="1"/>
  <c r="AH68" i="47" s="1"/>
  <c r="F130" i="75"/>
  <c r="F27" i="75"/>
  <c r="E27" i="75" s="1"/>
  <c r="AH35" i="47" s="1"/>
  <c r="A101" i="61" s="1"/>
  <c r="F31" i="75"/>
  <c r="F83" i="75"/>
  <c r="F99" i="75"/>
  <c r="F114" i="75"/>
  <c r="F93" i="75"/>
  <c r="F23" i="75"/>
  <c r="E23" i="75" s="1"/>
  <c r="AH31" i="47" s="1"/>
  <c r="F16" i="75"/>
  <c r="E16" i="75" s="1"/>
  <c r="AH24" i="47" s="1"/>
  <c r="F117" i="75"/>
  <c r="F105" i="75"/>
  <c r="F111" i="75"/>
  <c r="F86" i="75"/>
  <c r="F101" i="75"/>
  <c r="F14" i="75"/>
  <c r="E14" i="75" s="1"/>
  <c r="AH22" i="47" s="1"/>
  <c r="F121" i="75"/>
  <c r="F26" i="75"/>
  <c r="E26" i="75" s="1"/>
  <c r="AH34" i="47" s="1"/>
  <c r="F39" i="75"/>
  <c r="E39" i="75" s="1"/>
  <c r="AH47" i="47" s="1"/>
  <c r="A149" i="61" s="1"/>
  <c r="F127" i="75"/>
  <c r="F108" i="75"/>
  <c r="F6" i="75"/>
  <c r="E6" i="75" s="1"/>
  <c r="AH14" i="47" s="1"/>
  <c r="F29" i="75"/>
  <c r="E29" i="75" s="1"/>
  <c r="AH37" i="47" s="1"/>
  <c r="AJ37" i="47" s="1"/>
  <c r="F15" i="75"/>
  <c r="E15" i="75" s="1"/>
  <c r="AH23" i="47" s="1"/>
  <c r="F97" i="75"/>
  <c r="F7" i="75"/>
  <c r="E7" i="75" s="1"/>
  <c r="AH15" i="47" s="1"/>
  <c r="AI15" i="47" s="1"/>
  <c r="F69" i="75"/>
  <c r="E69" i="75" s="1"/>
  <c r="AH136" i="47" s="1"/>
  <c r="F42" i="75"/>
  <c r="F95" i="75"/>
  <c r="F104" i="75"/>
  <c r="F89" i="75"/>
  <c r="F82" i="75"/>
  <c r="F17" i="75"/>
  <c r="E17" i="75" s="1"/>
  <c r="AH25" i="47" s="1"/>
  <c r="F8" i="75"/>
  <c r="E8" i="75" s="1"/>
  <c r="AH16" i="47" s="1"/>
  <c r="F87" i="75"/>
  <c r="F92" i="75"/>
  <c r="F38" i="75"/>
  <c r="E38" i="75" s="1"/>
  <c r="AH46" i="47" s="1"/>
  <c r="E31" i="75"/>
  <c r="AH39" i="47" s="1"/>
  <c r="AJ39" i="47" s="1"/>
  <c r="E46" i="75"/>
  <c r="AH54" i="47" s="1"/>
  <c r="AK54" i="47" s="1"/>
  <c r="E42" i="75"/>
  <c r="AH50" i="47" s="1"/>
  <c r="AI50" i="47" s="1"/>
  <c r="E28" i="75"/>
  <c r="AH36" i="47" s="1"/>
  <c r="A105" i="61" s="1"/>
  <c r="E11" i="75"/>
  <c r="AH19" i="47" s="1"/>
  <c r="AK19" i="47" s="1"/>
  <c r="I5" i="118"/>
  <c r="L3" i="115"/>
  <c r="I15" i="118"/>
  <c r="H4" i="123"/>
  <c r="G54" i="15"/>
  <c r="R1" i="10"/>
  <c r="G50" i="15"/>
  <c r="G52" i="15"/>
  <c r="AK39" i="47" l="1"/>
  <c r="F54" i="75"/>
  <c r="E54" i="75" s="1"/>
  <c r="AH62" i="47" s="1"/>
  <c r="AK62" i="47" s="1"/>
  <c r="AJ22" i="47"/>
  <c r="AK22" i="47"/>
  <c r="F3" i="75"/>
  <c r="E3" i="75" s="1"/>
  <c r="AH11" i="47" s="1"/>
  <c r="F81" i="75"/>
  <c r="F48" i="75"/>
  <c r="E48" i="75" s="1"/>
  <c r="AH56" i="47" s="1"/>
  <c r="F58" i="75"/>
  <c r="E58" i="75" s="1"/>
  <c r="AH66" i="47" s="1"/>
  <c r="F63" i="75"/>
  <c r="E63" i="75" s="1"/>
  <c r="AH71" i="47" s="1"/>
  <c r="AK71" i="47" s="1"/>
  <c r="F73" i="75"/>
  <c r="F36" i="75"/>
  <c r="E36" i="75" s="1"/>
  <c r="AH44" i="47" s="1"/>
  <c r="F124" i="75"/>
  <c r="F126" i="75"/>
  <c r="F43" i="75"/>
  <c r="E43" i="75" s="1"/>
  <c r="AH51" i="47" s="1"/>
  <c r="AI51" i="47" s="1"/>
  <c r="F107" i="75"/>
  <c r="F12" i="75"/>
  <c r="E12" i="75" s="1"/>
  <c r="AH20" i="47" s="1"/>
  <c r="F96" i="75"/>
  <c r="F80" i="75"/>
  <c r="F77" i="75"/>
  <c r="F67" i="75"/>
  <c r="E67" i="75" s="1"/>
  <c r="AH100" i="47" s="1"/>
  <c r="F71" i="75"/>
  <c r="F118" i="75"/>
  <c r="F65" i="75"/>
  <c r="E65" i="75" s="1"/>
  <c r="AH73" i="47" s="1"/>
  <c r="F35" i="75"/>
  <c r="E35" i="75" s="1"/>
  <c r="AH43" i="47" s="1"/>
  <c r="A133" i="61" s="1"/>
  <c r="F72" i="75"/>
  <c r="F68" i="75"/>
  <c r="E68" i="75" s="1"/>
  <c r="AH88" i="47" s="1"/>
  <c r="AI88" i="47" s="1"/>
  <c r="F55" i="75"/>
  <c r="E55" i="75" s="1"/>
  <c r="AH63" i="47" s="1"/>
  <c r="F90" i="75"/>
  <c r="F61" i="75"/>
  <c r="E61" i="75" s="1"/>
  <c r="AH69" i="47" s="1"/>
  <c r="F110" i="75"/>
  <c r="F53" i="75"/>
  <c r="E53" i="75" s="1"/>
  <c r="AH61" i="47" s="1"/>
  <c r="AI61" i="47" s="1"/>
  <c r="F37" i="75"/>
  <c r="E37" i="75" s="1"/>
  <c r="AH45" i="47" s="1"/>
  <c r="F5" i="75"/>
  <c r="E5" i="75" s="1"/>
  <c r="AH13" i="47" s="1"/>
  <c r="AK13" i="47" s="1"/>
  <c r="F13" i="75"/>
  <c r="E13" i="75" s="1"/>
  <c r="AH21" i="47" s="1"/>
  <c r="A45" i="61" s="1"/>
  <c r="G45" i="61" s="1"/>
  <c r="F22" i="75"/>
  <c r="E22" i="75" s="1"/>
  <c r="AH30" i="47" s="1"/>
  <c r="AK30" i="47" s="1"/>
  <c r="A129" i="61"/>
  <c r="AK42" i="47"/>
  <c r="AI56" i="47"/>
  <c r="AJ56" i="47"/>
  <c r="AK56" i="47"/>
  <c r="A185" i="61"/>
  <c r="AK68" i="47"/>
  <c r="AJ68" i="47"/>
  <c r="A233" i="61"/>
  <c r="AI33" i="47"/>
  <c r="AJ33" i="47"/>
  <c r="AJ61" i="47"/>
  <c r="F50" i="75"/>
  <c r="E50" i="75" s="1"/>
  <c r="AH58" i="47" s="1"/>
  <c r="A193" i="61" s="1"/>
  <c r="F18" i="75"/>
  <c r="E18" i="75" s="1"/>
  <c r="AH26" i="47" s="1"/>
  <c r="F21" i="75"/>
  <c r="E21" i="75" s="1"/>
  <c r="AH29" i="47" s="1"/>
  <c r="AI29" i="47" s="1"/>
  <c r="F10" i="75"/>
  <c r="E10" i="75" s="1"/>
  <c r="AH18" i="47" s="1"/>
  <c r="AK18" i="47" s="1"/>
  <c r="F24" i="75"/>
  <c r="E24" i="75" s="1"/>
  <c r="AH32" i="47" s="1"/>
  <c r="AI13" i="47"/>
  <c r="AI22" i="47"/>
  <c r="AI67" i="47"/>
  <c r="AI28" i="47"/>
  <c r="F116" i="75"/>
  <c r="F109" i="75"/>
  <c r="F57" i="75"/>
  <c r="E57" i="75" s="1"/>
  <c r="AH65" i="47" s="1"/>
  <c r="AJ65" i="47" s="1"/>
  <c r="F94" i="75"/>
  <c r="F128" i="75"/>
  <c r="F49" i="75"/>
  <c r="E49" i="75" s="1"/>
  <c r="AH57" i="47" s="1"/>
  <c r="A189" i="61" s="1"/>
  <c r="F112" i="75"/>
  <c r="F40" i="75"/>
  <c r="E40" i="75" s="1"/>
  <c r="AH48" i="47" s="1"/>
  <c r="F66" i="75"/>
  <c r="E66" i="75" s="1"/>
  <c r="AH125" i="47" s="1"/>
  <c r="F70" i="75"/>
  <c r="E70" i="75" s="1"/>
  <c r="AH77" i="47" s="1"/>
  <c r="AJ77" i="47" s="1"/>
  <c r="F100" i="75"/>
  <c r="F79" i="75"/>
  <c r="F32" i="75"/>
  <c r="E32" i="75" s="1"/>
  <c r="AH40" i="47" s="1"/>
  <c r="AK40" i="47" s="1"/>
  <c r="F4" i="75"/>
  <c r="E4" i="75" s="1"/>
  <c r="AH12" i="47" s="1"/>
  <c r="A9" i="61" s="1"/>
  <c r="I9" i="61" s="1"/>
  <c r="F125" i="75"/>
  <c r="F129" i="75"/>
  <c r="F102" i="75"/>
  <c r="F56" i="75"/>
  <c r="E56" i="75" s="1"/>
  <c r="AH64" i="47" s="1"/>
  <c r="F52" i="75"/>
  <c r="E52" i="75" s="1"/>
  <c r="AH60" i="47" s="1"/>
  <c r="F119" i="75"/>
  <c r="F74" i="75"/>
  <c r="F41" i="75"/>
  <c r="E41" i="75" s="1"/>
  <c r="AH49" i="47" s="1"/>
  <c r="AI49" i="47" s="1"/>
  <c r="F51" i="75"/>
  <c r="E51" i="75" s="1"/>
  <c r="AH59" i="47" s="1"/>
  <c r="AI59" i="47" s="1"/>
  <c r="F9" i="75"/>
  <c r="E9" i="75" s="1"/>
  <c r="AH17" i="47" s="1"/>
  <c r="A29" i="61" s="1"/>
  <c r="AK28" i="47"/>
  <c r="AI47" i="47"/>
  <c r="A213" i="61"/>
  <c r="H213" i="61" s="1"/>
  <c r="AJ54" i="47"/>
  <c r="A157" i="61"/>
  <c r="I157" i="61" s="1"/>
  <c r="AI37" i="47"/>
  <c r="AI63" i="47"/>
  <c r="A69" i="61"/>
  <c r="AJ64" i="47"/>
  <c r="AK61" i="47"/>
  <c r="AJ34" i="47"/>
  <c r="AI34" i="47"/>
  <c r="A13" i="61"/>
  <c r="G13" i="61" s="1"/>
  <c r="AJ13" i="47"/>
  <c r="AJ47" i="47"/>
  <c r="A73" i="61"/>
  <c r="A177" i="61"/>
  <c r="H177" i="61" s="1"/>
  <c r="AK47" i="47"/>
  <c r="AI42" i="47"/>
  <c r="AI54" i="47"/>
  <c r="AK36" i="47"/>
  <c r="AJ36" i="47"/>
  <c r="A245" i="61"/>
  <c r="G245" i="61" s="1"/>
  <c r="AI44" i="47"/>
  <c r="AJ44" i="47"/>
  <c r="A137" i="61"/>
  <c r="AK44" i="47"/>
  <c r="AK17" i="47"/>
  <c r="AJ73" i="47"/>
  <c r="AK73" i="47"/>
  <c r="A49" i="61"/>
  <c r="AI35" i="47"/>
  <c r="AJ38" i="47"/>
  <c r="AI68" i="47"/>
  <c r="AK38" i="47"/>
  <c r="AK35" i="47"/>
  <c r="AK23" i="47"/>
  <c r="A53" i="61"/>
  <c r="G53" i="61" s="1"/>
  <c r="AJ23" i="47"/>
  <c r="A93" i="61"/>
  <c r="I93" i="61" s="1"/>
  <c r="A161" i="61"/>
  <c r="AI36" i="47"/>
  <c r="AI19" i="47"/>
  <c r="AI43" i="47"/>
  <c r="A21" i="61"/>
  <c r="AK43" i="47"/>
  <c r="AK31" i="47"/>
  <c r="AI31" i="47"/>
  <c r="A85" i="61"/>
  <c r="AJ31" i="47"/>
  <c r="AJ25" i="47"/>
  <c r="AI25" i="47"/>
  <c r="A181" i="61"/>
  <c r="AJ55" i="47"/>
  <c r="AK55" i="47"/>
  <c r="AI55" i="47"/>
  <c r="AJ70" i="47"/>
  <c r="A241" i="61"/>
  <c r="H241" i="61" s="1"/>
  <c r="AK70" i="47"/>
  <c r="AI45" i="47"/>
  <c r="AJ45" i="47"/>
  <c r="A141" i="61"/>
  <c r="H141" i="61" s="1"/>
  <c r="AK45" i="47"/>
  <c r="AJ58" i="47"/>
  <c r="AK58" i="47"/>
  <c r="AI58" i="47"/>
  <c r="A65" i="61"/>
  <c r="G65" i="61" s="1"/>
  <c r="AJ26" i="47"/>
  <c r="AI26" i="47"/>
  <c r="A109" i="61"/>
  <c r="A253" i="61"/>
  <c r="I253" i="61" s="1"/>
  <c r="A117" i="61"/>
  <c r="AJ67" i="47"/>
  <c r="A97" i="61"/>
  <c r="H97" i="61" s="1"/>
  <c r="AK27" i="47"/>
  <c r="A33" i="61"/>
  <c r="AK34" i="47"/>
  <c r="AK37" i="47"/>
  <c r="AI27" i="47"/>
  <c r="AI18" i="47"/>
  <c r="AI73" i="47"/>
  <c r="AI39" i="47"/>
  <c r="AJ35" i="47"/>
  <c r="AJ59" i="47"/>
  <c r="AJ43" i="47"/>
  <c r="A125" i="61"/>
  <c r="I125" i="61" s="1"/>
  <c r="A113" i="61"/>
  <c r="A37" i="61"/>
  <c r="H37" i="61" s="1"/>
  <c r="A229" i="61"/>
  <c r="I229" i="61" s="1"/>
  <c r="AI41" i="47"/>
  <c r="AK15" i="47"/>
  <c r="AJ46" i="47"/>
  <c r="A145" i="61"/>
  <c r="G145" i="61" s="1"/>
  <c r="AK46" i="47"/>
  <c r="AI46" i="47"/>
  <c r="AK52" i="47"/>
  <c r="A169" i="61"/>
  <c r="G169" i="61" s="1"/>
  <c r="AI52" i="47"/>
  <c r="AJ52" i="47"/>
  <c r="AJ11" i="47"/>
  <c r="AK11" i="47"/>
  <c r="A5" i="61"/>
  <c r="G5" i="61" s="1"/>
  <c r="AI11" i="47"/>
  <c r="AJ66" i="47"/>
  <c r="A225" i="61"/>
  <c r="H225" i="61" s="1"/>
  <c r="AK66" i="47"/>
  <c r="AI66" i="47"/>
  <c r="AI21" i="47"/>
  <c r="A41" i="61"/>
  <c r="I41" i="61" s="1"/>
  <c r="AI20" i="47"/>
  <c r="AK20" i="47"/>
  <c r="AJ20" i="47"/>
  <c r="A57" i="61"/>
  <c r="G57" i="61" s="1"/>
  <c r="AI24" i="47"/>
  <c r="AJ24" i="47"/>
  <c r="AK24" i="47"/>
  <c r="AI72" i="47"/>
  <c r="AK72" i="47"/>
  <c r="A249" i="61"/>
  <c r="H249" i="61" s="1"/>
  <c r="AJ72" i="47"/>
  <c r="AI62" i="47"/>
  <c r="A25" i="61"/>
  <c r="AK16" i="47"/>
  <c r="AJ16" i="47"/>
  <c r="AI16" i="47"/>
  <c r="AJ14" i="47"/>
  <c r="AI14" i="47"/>
  <c r="A17" i="61"/>
  <c r="H17" i="61" s="1"/>
  <c r="AK14" i="47"/>
  <c r="AJ53" i="47"/>
  <c r="A173" i="61"/>
  <c r="G173" i="61" s="1"/>
  <c r="AI53" i="47"/>
  <c r="AK53" i="47"/>
  <c r="AK69" i="47"/>
  <c r="AJ69" i="47"/>
  <c r="A237" i="61"/>
  <c r="I237" i="61" s="1"/>
  <c r="AI69" i="47"/>
  <c r="A505" i="61"/>
  <c r="AI136" i="47"/>
  <c r="AK136" i="47"/>
  <c r="AJ136" i="47"/>
  <c r="A61" i="61"/>
  <c r="H61" i="61" s="1"/>
  <c r="AJ71" i="47"/>
  <c r="A461" i="61"/>
  <c r="AK125" i="47"/>
  <c r="AJ125" i="47"/>
  <c r="AI125" i="47"/>
  <c r="AI77" i="47"/>
  <c r="AJ50" i="47"/>
  <c r="AJ42" i="47"/>
  <c r="AK48" i="47"/>
  <c r="AK33" i="47"/>
  <c r="AJ40" i="47"/>
  <c r="AI23" i="47"/>
  <c r="AK26" i="47"/>
  <c r="AI70" i="47"/>
  <c r="AK50" i="47"/>
  <c r="AJ19" i="47"/>
  <c r="AK29" i="47"/>
  <c r="AK25" i="47"/>
  <c r="AJ41" i="47"/>
  <c r="AI71" i="47"/>
  <c r="AJ15" i="47"/>
  <c r="A361" i="61"/>
  <c r="AJ100" i="47"/>
  <c r="AK100" i="47"/>
  <c r="AI100" i="47"/>
  <c r="AJ88" i="47"/>
  <c r="G229" i="61"/>
  <c r="G157" i="61"/>
  <c r="H73" i="61"/>
  <c r="G73" i="61"/>
  <c r="I73" i="61"/>
  <c r="H69" i="61"/>
  <c r="I69" i="61"/>
  <c r="G69" i="61"/>
  <c r="G93" i="61"/>
  <c r="H93" i="61"/>
  <c r="H53" i="61"/>
  <c r="H185" i="61"/>
  <c r="I185" i="61"/>
  <c r="G185" i="61"/>
  <c r="I161" i="61"/>
  <c r="G161" i="61"/>
  <c r="H161" i="61"/>
  <c r="G105" i="61"/>
  <c r="I105" i="61"/>
  <c r="H105" i="61"/>
  <c r="I245" i="61"/>
  <c r="G97" i="61"/>
  <c r="I213" i="61"/>
  <c r="G213" i="61"/>
  <c r="G225" i="61"/>
  <c r="I49" i="61"/>
  <c r="H49" i="61"/>
  <c r="G49" i="61"/>
  <c r="I5" i="61"/>
  <c r="I101" i="61"/>
  <c r="H101" i="61"/>
  <c r="G101" i="61"/>
  <c r="G37" i="61"/>
  <c r="I37" i="61"/>
  <c r="G61" i="61"/>
  <c r="G85" i="61"/>
  <c r="I85" i="61"/>
  <c r="H85" i="61"/>
  <c r="G113" i="61"/>
  <c r="I113" i="61"/>
  <c r="H113" i="61"/>
  <c r="H21" i="61"/>
  <c r="G21" i="61"/>
  <c r="I21" i="61"/>
  <c r="I13" i="61"/>
  <c r="G149" i="61"/>
  <c r="I149" i="61"/>
  <c r="H149" i="61"/>
  <c r="I145" i="61"/>
  <c r="I17" i="61"/>
  <c r="H173" i="61"/>
  <c r="AJ51" i="47"/>
  <c r="G181" i="61"/>
  <c r="H181" i="61"/>
  <c r="I181" i="61"/>
  <c r="I141" i="61"/>
  <c r="G233" i="61"/>
  <c r="I233" i="61"/>
  <c r="H233" i="61"/>
  <c r="G129" i="61"/>
  <c r="I129" i="61"/>
  <c r="H129" i="61"/>
  <c r="G109" i="61"/>
  <c r="I109" i="61"/>
  <c r="H109" i="61"/>
  <c r="H25" i="61"/>
  <c r="G25" i="61"/>
  <c r="I25" i="61"/>
  <c r="I33" i="61"/>
  <c r="H33" i="61"/>
  <c r="G33" i="61"/>
  <c r="H65" i="61"/>
  <c r="I65" i="61"/>
  <c r="H137" i="61"/>
  <c r="I137" i="61"/>
  <c r="G137" i="61"/>
  <c r="I57" i="61"/>
  <c r="H57" i="61"/>
  <c r="G41" i="61"/>
  <c r="H41" i="61"/>
  <c r="A201" i="61"/>
  <c r="AJ60" i="47"/>
  <c r="AK60" i="47"/>
  <c r="AI60" i="47"/>
  <c r="H117" i="61"/>
  <c r="G117" i="61"/>
  <c r="I117" i="61"/>
  <c r="H9" i="61"/>
  <c r="H133" i="61"/>
  <c r="G133" i="61"/>
  <c r="I133" i="61"/>
  <c r="H5" i="123"/>
  <c r="G51" i="15"/>
  <c r="S1" i="10"/>
  <c r="G53" i="15"/>
  <c r="H193" i="61" l="1"/>
  <c r="I193" i="61"/>
  <c r="I177" i="61"/>
  <c r="G141" i="61"/>
  <c r="A165" i="61"/>
  <c r="I165" i="61" s="1"/>
  <c r="G237" i="61"/>
  <c r="H13" i="61"/>
  <c r="H5" i="61"/>
  <c r="G249" i="61"/>
  <c r="H125" i="61"/>
  <c r="I53" i="61"/>
  <c r="H157" i="61"/>
  <c r="AK88" i="47"/>
  <c r="AJ12" i="47"/>
  <c r="A269" i="61"/>
  <c r="AJ62" i="47"/>
  <c r="AK21" i="47"/>
  <c r="A77" i="61"/>
  <c r="AJ17" i="47"/>
  <c r="G9" i="61"/>
  <c r="G177" i="61"/>
  <c r="I249" i="61"/>
  <c r="G125" i="61"/>
  <c r="A209" i="61"/>
  <c r="AJ21" i="47"/>
  <c r="AK51" i="47"/>
  <c r="H237" i="61"/>
  <c r="G17" i="61"/>
  <c r="G241" i="61"/>
  <c r="A313" i="61"/>
  <c r="AK49" i="47"/>
  <c r="AK77" i="47"/>
  <c r="AJ29" i="47"/>
  <c r="AI12" i="47"/>
  <c r="AK57" i="47"/>
  <c r="AJ18" i="47"/>
  <c r="H189" i="61"/>
  <c r="I189" i="61"/>
  <c r="G189" i="61"/>
  <c r="AK12" i="47"/>
  <c r="G193" i="61"/>
  <c r="A81" i="61"/>
  <c r="AK63" i="47"/>
  <c r="AJ63" i="47"/>
  <c r="AJ30" i="47"/>
  <c r="A205" i="61"/>
  <c r="AI30" i="47"/>
  <c r="I29" i="61"/>
  <c r="H29" i="61"/>
  <c r="G29" i="61"/>
  <c r="AI64" i="47"/>
  <c r="AK64" i="47"/>
  <c r="A217" i="61"/>
  <c r="AJ57" i="47"/>
  <c r="AI57" i="47"/>
  <c r="AK65" i="47"/>
  <c r="AI65" i="47"/>
  <c r="A221" i="61"/>
  <c r="AI17" i="47"/>
  <c r="AJ48" i="47"/>
  <c r="A153" i="61"/>
  <c r="AI48" i="47"/>
  <c r="A89" i="61"/>
  <c r="AJ32" i="47"/>
  <c r="AI32" i="47"/>
  <c r="AK32" i="47"/>
  <c r="AI40" i="47"/>
  <c r="A121" i="61"/>
  <c r="A197" i="61"/>
  <c r="AK59" i="47"/>
  <c r="AJ49" i="47"/>
  <c r="I173" i="61"/>
  <c r="H45" i="61"/>
  <c r="H145" i="61"/>
  <c r="I169" i="61"/>
  <c r="I61" i="61"/>
  <c r="G253" i="61"/>
  <c r="I225" i="61"/>
  <c r="H245" i="61"/>
  <c r="I241" i="61"/>
  <c r="H229" i="61"/>
  <c r="I45" i="61"/>
  <c r="H169" i="61"/>
  <c r="H253" i="61"/>
  <c r="I97" i="61"/>
  <c r="I313" i="61"/>
  <c r="G313" i="61"/>
  <c r="H313" i="61"/>
  <c r="G361" i="61"/>
  <c r="I361" i="61"/>
  <c r="H361" i="61"/>
  <c r="G505" i="61"/>
  <c r="I505" i="61"/>
  <c r="H505" i="61"/>
  <c r="I269" i="61"/>
  <c r="H269" i="61"/>
  <c r="G269" i="61"/>
  <c r="G461" i="61"/>
  <c r="H461" i="61"/>
  <c r="I461" i="61"/>
  <c r="G201" i="61"/>
  <c r="H201" i="61"/>
  <c r="I201" i="61"/>
  <c r="H165" i="61"/>
  <c r="I4" i="123"/>
  <c r="G58" i="15"/>
  <c r="G56" i="15"/>
  <c r="R1" i="108"/>
  <c r="G60" i="15"/>
  <c r="G77" i="61" l="1"/>
  <c r="I77" i="61"/>
  <c r="H77" i="61"/>
  <c r="I209" i="61"/>
  <c r="H209" i="61"/>
  <c r="G209" i="61"/>
  <c r="G165" i="61"/>
  <c r="H81" i="61"/>
  <c r="I81" i="61"/>
  <c r="G81" i="61"/>
  <c r="I205" i="61"/>
  <c r="H205" i="61"/>
  <c r="G205" i="61"/>
  <c r="G121" i="61"/>
  <c r="I121" i="61"/>
  <c r="H121" i="61"/>
  <c r="I197" i="61"/>
  <c r="H197" i="61"/>
  <c r="G197" i="61"/>
  <c r="I153" i="61"/>
  <c r="G153" i="61"/>
  <c r="H153" i="61"/>
  <c r="G217" i="61"/>
  <c r="H217" i="61"/>
  <c r="I217" i="61"/>
  <c r="H221" i="61"/>
  <c r="I221" i="61"/>
  <c r="G221" i="61"/>
  <c r="I89" i="61"/>
  <c r="H89" i="61"/>
  <c r="G89" i="61"/>
  <c r="I5" i="123"/>
  <c r="S1" i="108"/>
  <c r="G59" i="15"/>
  <c r="G57" i="15"/>
  <c r="J4" i="123" l="1"/>
  <c r="R1" i="107"/>
  <c r="G62" i="15"/>
  <c r="G64" i="15"/>
  <c r="G66" i="15"/>
  <c r="J5" i="123" l="1"/>
  <c r="S1" i="107"/>
  <c r="G63" i="15"/>
  <c r="G65" i="15"/>
  <c r="K4" i="123" l="1"/>
  <c r="R1" i="106"/>
  <c r="G68" i="15"/>
  <c r="G72" i="15"/>
  <c r="G70" i="15"/>
  <c r="K5" i="123" l="1"/>
  <c r="S1" i="106"/>
  <c r="G69" i="15"/>
  <c r="G71" i="15"/>
  <c r="L4" i="123" l="1"/>
  <c r="G76" i="15"/>
  <c r="G78" i="15"/>
  <c r="R1" i="105"/>
  <c r="G74" i="15"/>
  <c r="L5" i="123" l="1"/>
  <c r="G75" i="15"/>
  <c r="G77" i="15"/>
  <c r="S1" i="105"/>
  <c r="M4" i="123" l="1"/>
  <c r="G82" i="15"/>
  <c r="G84" i="15"/>
  <c r="G80" i="15"/>
  <c r="R1" i="104"/>
  <c r="M5" i="123" l="1"/>
  <c r="S1" i="104"/>
  <c r="G81" i="15"/>
  <c r="G83" i="15"/>
  <c r="N4" i="123" l="1"/>
  <c r="G88" i="15"/>
  <c r="G90" i="15"/>
  <c r="R1" i="103"/>
  <c r="G86" i="15"/>
  <c r="N5" i="123" l="1"/>
  <c r="G87" i="15"/>
  <c r="S1" i="103"/>
  <c r="G89" i="15"/>
  <c r="O4" i="123" l="1"/>
  <c r="G94" i="15"/>
  <c r="R1" i="102"/>
  <c r="G96" i="15"/>
  <c r="G92" i="15"/>
  <c r="O5" i="123" l="1"/>
  <c r="S1" i="102"/>
  <c r="G93" i="15"/>
  <c r="G95" i="15"/>
  <c r="P4" i="123" l="1"/>
  <c r="G98" i="15"/>
  <c r="G102" i="15"/>
  <c r="G100" i="15"/>
  <c r="R1" i="101"/>
  <c r="P5" i="123" l="1"/>
  <c r="G99" i="15"/>
  <c r="G101" i="15"/>
  <c r="S1" i="101"/>
  <c r="Q4" i="123" l="1"/>
  <c r="G106" i="15"/>
  <c r="R1" i="100"/>
  <c r="G104" i="15"/>
  <c r="G108" i="15"/>
  <c r="Q5" i="123" l="1"/>
  <c r="G107" i="15"/>
  <c r="G105" i="15"/>
  <c r="S1" i="100"/>
  <c r="R4" i="123" l="1"/>
  <c r="G114" i="15"/>
  <c r="G112" i="15"/>
  <c r="R1" i="99"/>
  <c r="G110" i="15"/>
  <c r="R5" i="123" l="1"/>
  <c r="S4" i="123" s="1"/>
  <c r="G113" i="15"/>
  <c r="G118" i="15"/>
  <c r="H2" i="84"/>
  <c r="G116" i="15"/>
  <c r="S1" i="99"/>
  <c r="R1" i="98"/>
  <c r="G111" i="15"/>
  <c r="G120" i="15"/>
  <c r="H17" i="84" l="1"/>
  <c r="H5" i="84"/>
  <c r="D3" i="84"/>
  <c r="S5" i="123"/>
  <c r="J2" i="84"/>
  <c r="G117" i="15"/>
  <c r="S1" i="98"/>
  <c r="G119" i="15"/>
  <c r="H11" i="84" l="1"/>
  <c r="D7" i="84"/>
  <c r="T4" i="123"/>
  <c r="R1" i="97"/>
  <c r="G124" i="15"/>
  <c r="G122" i="15"/>
  <c r="G126" i="1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<sst xmlns="http://schemas.openxmlformats.org/spreadsheetml/2006/main" count="7712" uniqueCount="2044">
  <si>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</si>
  <si>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</si>
  <si>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</si>
  <si>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</si>
  <si>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</si>
  <si>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</si>
  <si>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</si>
  <si>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</si>
  <si>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</si>
  <si>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</si>
  <si>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</si>
  <si>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</si>
  <si>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</si>
  <si>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</si>
  <si>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</si>
  <si>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</si>
  <si>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</si>
  <si>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</si>
  <si>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</si>
  <si>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</si>
  <si>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</si>
  <si>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</si>
  <si>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</si>
  <si>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</si>
  <si>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</si>
  <si>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</si>
  <si>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</si>
  <si>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</si>
  <si>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</si>
  <si>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</si>
  <si>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</si>
  <si>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</si>
  <si>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</si>
  <si>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</si>
  <si>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</si>
  <si>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</si>
  <si>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</si>
  <si>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</si>
  <si>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</si>
  <si>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</si>
  <si>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</si>
  <si>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</si>
  <si>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</si>
  <si>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</si>
  <si>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</si>
  <si>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</si>
  <si>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</si>
  <si>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</si>
  <si>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</si>
  <si>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</si>
  <si>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</si>
  <si>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</si>
  <si>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</si>
  <si>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</si>
  <si>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</si>
  <si>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</si>
  <si>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</si>
  <si>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</si>
  <si>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</si>
  <si>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</si>
  <si>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</si>
  <si>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</si>
  <si>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</si>
  <si>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</si>
  <si>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</si>
  <si>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</si>
  <si>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</si>
  <si>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</si>
  <si>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</si>
  <si>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</si>
  <si>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</si>
  <si>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</si>
  <si>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</si>
  <si>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</si>
  <si>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</si>
  <si>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</si>
  <si>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</si>
  <si>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</si>
  <si>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</si>
  <si>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</si>
  <si>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</si>
  <si>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</si>
  <si>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</si>
  <si>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</si>
  <si>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</si>
  <si>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</si>
  <si>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</si>
  <si>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</si>
  <si>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</si>
  <si>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</si>
  <si>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</si>
  <si>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</si>
  <si>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</si>
  <si>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</si>
  <si>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</si>
  <si>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</si>
  <si>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</si>
  <si>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</si>
  <si>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</si>
  <si>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</si>
  <si>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</si>
  <si>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</si>
  <si>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</si>
  <si>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</si>
  <si>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</si>
  <si>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</si>
  <si>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</si>
  <si>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</si>
  <si>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</si>
  <si>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</si>
  <si>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</si>
  <si>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</si>
  <si>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</si>
  <si>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</si>
  <si>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</si>
  <si>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</si>
  <si>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</si>
  <si>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</si>
  <si>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</si>
  <si>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</si>
  <si>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</si>
  <si>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</si>
  <si>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</si>
  <si>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</si>
  <si>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</si>
  <si>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</si>
  <si>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</si>
  <si>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</si>
  <si>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</si>
  <si>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</si>
  <si>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</si>
  <si>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</si>
  <si>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</si>
  <si>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</si>
  <si>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</si>
  <si>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</si>
  <si>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</si>
  <si>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</si>
  <si>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</si>
  <si>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</si>
  <si>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</si>
  <si>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</si>
  <si>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</si>
  <si>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</si>
  <si>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</si>
  <si>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</si>
  <si>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</si>
  <si>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</si>
  <si>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</si>
  <si>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</si>
  <si>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</si>
  <si>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</si>
  <si>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</si>
  <si>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</si>
  <si>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</si>
  <si>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</si>
  <si>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</si>
  <si>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</si>
  <si>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</si>
  <si>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</si>
  <si>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</si>
  <si>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</si>
  <si>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</si>
  <si>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</si>
  <si>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</si>
  <si>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</si>
  <si>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</si>
  <si>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</si>
  <si>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</si>
  <si>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</si>
  <si>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</si>
  <si>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</si>
  <si>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</si>
  <si>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</si>
  <si>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</si>
  <si>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</si>
  <si>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</si>
  <si>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</si>
  <si>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</si>
  <si>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</si>
  <si>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</si>
  <si>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</si>
  <si>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</si>
  <si>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</si>
  <si>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</si>
  <si>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</si>
  <si>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</si>
  <si>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</si>
  <si>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</si>
  <si>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</si>
  <si>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</si>
  <si>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</si>
  <si>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</si>
  <si>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</si>
  <si>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</si>
  <si>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</si>
  <si>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</si>
  <si>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</si>
  <si>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</si>
  <si>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</si>
  <si>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</si>
  <si>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</si>
  <si>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</si>
  <si>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</si>
  <si>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</si>
  <si>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</si>
  <si>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</si>
  <si>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</si>
  <si>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</si>
  <si>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</si>
  <si>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</si>
  <si>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</si>
  <si>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</si>
  <si>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</si>
  <si>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</si>
  <si>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</si>
  <si>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</si>
  <si>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</si>
  <si>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</si>
  <si>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</si>
  <si>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</si>
  <si>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</si>
  <si>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</si>
  <si>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</si>
  <si>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</si>
  <si>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</si>
  <si>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</si>
  <si>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</si>
  <si>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</si>
  <si>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</si>
  <si>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</si>
  <si>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</si>
  <si>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</si>
  <si>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</si>
  <si>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</si>
  <si>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</si>
  <si>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</si>
  <si>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</si>
  <si>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</si>
  <si>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</si>
  <si>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</si>
  <si>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</si>
  <si>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</si>
  <si>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</si>
  <si>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</si>
  <si>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</si>
  <si>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</si>
  <si>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</si>
  <si>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</si>
  <si>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</si>
  <si>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</si>
  <si>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</si>
  <si>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</si>
  <si>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</si>
  <si>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</si>
  <si>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</si>
  <si>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</si>
  <si>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</si>
  <si>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</si>
  <si>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</si>
  <si>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</si>
  <si>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</si>
  <si>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</si>
  <si>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</si>
  <si>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</si>
  <si>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</si>
  <si>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</si>
  <si>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</si>
  <si>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</si>
  <si>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</si>
  <si>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</si>
  <si>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</si>
  <si>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</si>
  <si>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</si>
  <si>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</si>
  <si>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</si>
  <si>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</si>
  <si>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</si>
  <si>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</si>
  <si>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</si>
  <si>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</si>
  <si>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</si>
  <si>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</si>
  <si>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</si>
  <si>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</si>
  <si>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</si>
  <si>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</si>
  <si>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</si>
  <si>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</si>
  <si>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</si>
  <si>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</si>
  <si>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</si>
  <si>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</si>
  <si>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</si>
  <si>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</si>
  <si>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</si>
  <si>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</si>
  <si>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</si>
  <si>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</si>
  <si>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</si>
  <si>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</si>
  <si>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</si>
  <si>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</si>
  <si>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</si>
  <si>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</si>
  <si>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</si>
  <si>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</si>
  <si>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</si>
  <si>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</si>
  <si>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</si>
  <si>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</si>
  <si>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</si>
  <si>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</si>
  <si>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</si>
  <si>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</si>
  <si>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</si>
  <si>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</si>
  <si>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</si>
  <si>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</si>
  <si>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</si>
  <si>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</si>
  <si>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</si>
  <si>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</si>
  <si>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</si>
  <si>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</si>
  <si>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</si>
  <si>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</si>
  <si>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</si>
  <si>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</si>
  <si>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</si>
  <si>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</si>
  <si>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</si>
  <si>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</si>
  <si>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</si>
  <si>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</si>
  <si>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</si>
  <si>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</si>
  <si>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</si>
  <si>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</si>
  <si>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</si>
  <si>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</si>
  <si>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</si>
  <si>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</si>
  <si>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</si>
  <si>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</si>
  <si>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</si>
  <si>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</si>
  <si>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</si>
  <si>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</si>
  <si>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</si>
  <si>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</si>
  <si>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</si>
  <si>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</si>
  <si>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</si>
  <si>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</si>
  <si>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</si>
  <si>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</si>
  <si>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</si>
  <si>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</si>
  <si>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</si>
  <si>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</si>
  <si>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</si>
  <si>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</si>
  <si>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</si>
  <si>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</si>
  <si>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</si>
  <si>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</si>
  <si>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</si>
  <si>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</si>
  <si>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</si>
  <si>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</si>
  <si>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</si>
  <si>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</si>
  <si>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</si>
  <si>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</si>
  <si>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</si>
  <si>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</si>
  <si>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</si>
  <si>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</si>
  <si>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</si>
  <si>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</si>
  <si>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</si>
  <si>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</si>
  <si>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</si>
  <si>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</si>
  <si>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</si>
  <si>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</si>
  <si>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</si>
  <si>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</si>
  <si>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</si>
  <si>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</si>
  <si>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</si>
  <si>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</si>
  <si>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</si>
  <si>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</si>
  <si>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</si>
  <si>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</si>
  <si>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</si>
  <si>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</si>
  <si>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</si>
  <si>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</si>
  <si>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</si>
  <si>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</si>
  <si>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</si>
  <si>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</si>
  <si>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</si>
  <si>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</si>
  <si>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</si>
  <si>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</si>
  <si>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</si>
  <si>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</si>
  <si>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</si>
  <si>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</si>
  <si>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</si>
  <si>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</si>
  <si>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</si>
  <si>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</si>
  <si>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</si>
  <si>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</si>
  <si>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</si>
  <si>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</si>
  <si>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</si>
  <si>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</si>
  <si>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</si>
  <si>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</si>
  <si>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</si>
  <si>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</si>
  <si>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</si>
  <si>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</si>
  <si>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</si>
  <si>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</si>
  <si>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</si>
  <si>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</si>
  <si>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</si>
  <si>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</si>
  <si>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</si>
  <si>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</si>
  <si>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</si>
  <si>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</si>
  <si>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</si>
  <si>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</si>
  <si>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</si>
  <si>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</si>
  <si>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</si>
  <si>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</si>
  <si>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</si>
  <si>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</si>
  <si>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</si>
  <si>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</si>
  <si>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</si>
  <si>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</si>
  <si>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</si>
  <si>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</si>
  <si>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</si>
  <si>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</si>
  <si>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</si>
  <si>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</si>
  <si>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</si>
  <si>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</si>
  <si>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</si>
  <si>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</si>
  <si>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</si>
  <si>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</si>
  <si>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</si>
  <si>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</si>
  <si>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</si>
  <si>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</si>
  <si>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</si>
  <si>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</si>
  <si>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</si>
  <si>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</si>
  <si>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</si>
  <si>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</si>
  <si>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Beraní koule</t>
  </si>
  <si>
    <t>Albrechtice</t>
  </si>
  <si>
    <t>PAK Albrechtice</t>
  </si>
  <si>
    <t>Brno-Slatina</t>
  </si>
  <si>
    <t>SLOPE Brno</t>
  </si>
  <si>
    <t>Velikonoční vejce</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</si>
  <si>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</si>
  <si>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</si>
  <si>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</si>
  <si>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</si>
  <si>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</si>
  <si>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</si>
  <si>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</si>
  <si>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</si>
  <si>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</si>
  <si>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</si>
  <si>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</si>
  <si>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</si>
  <si>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</si>
  <si>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</si>
  <si>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</si>
  <si>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</si>
  <si>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</si>
  <si>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</si>
  <si>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</si>
  <si>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</si>
  <si>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</si>
  <si>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</si>
  <si>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</si>
  <si>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</si>
  <si>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</si>
  <si>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</si>
  <si>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</si>
  <si>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</si>
  <si>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</si>
  <si>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</si>
  <si>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</si>
  <si>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</si>
  <si>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</si>
  <si>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</si>
  <si>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</si>
  <si>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</si>
  <si>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</si>
  <si>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</si>
  <si>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</si>
  <si>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</si>
  <si>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</si>
  <si>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</si>
  <si>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</si>
  <si>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</si>
  <si>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</si>
  <si>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</si>
  <si>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</si>
  <si>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</si>
  <si>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</si>
  <si>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</si>
  <si>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</si>
  <si>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</si>
  <si>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</si>
  <si>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</si>
  <si>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</si>
  <si>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</si>
  <si>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</si>
  <si>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</si>
  <si>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</si>
  <si>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</si>
  <si>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</si>
  <si>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</si>
  <si>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</si>
  <si>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</si>
  <si>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</si>
  <si>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</si>
  <si>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</si>
  <si>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</si>
  <si>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</si>
  <si>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</si>
  <si>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</si>
  <si>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</si>
  <si>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</si>
  <si>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</si>
  <si>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</si>
  <si>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</si>
  <si>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</si>
  <si>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</si>
  <si>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</si>
  <si>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</si>
  <si>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</si>
  <si>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</si>
  <si>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</si>
  <si>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</si>
  <si>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</si>
  <si>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</si>
  <si>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</si>
  <si>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</si>
  <si>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</si>
  <si>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</si>
  <si>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</si>
  <si>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</si>
  <si>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</si>
  <si>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</si>
  <si>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</si>
  <si>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</si>
  <si>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</si>
  <si>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</si>
  <si>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</si>
  <si>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</si>
  <si>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</si>
  <si>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</si>
  <si>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</si>
  <si>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</si>
  <si>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</si>
  <si>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</si>
  <si>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</si>
  <si>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</si>
  <si>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</si>
  <si>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</si>
  <si>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</si>
  <si>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</si>
  <si>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</si>
  <si>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</si>
  <si>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</si>
  <si>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</si>
  <si>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</si>
  <si>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</si>
  <si>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</si>
  <si>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</si>
  <si>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</si>
  <si>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</si>
  <si>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</si>
  <si>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</si>
  <si>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</si>
  <si>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</si>
  <si>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</si>
  <si>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</si>
  <si>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</si>
  <si>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</si>
  <si>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</si>
  <si>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</si>
  <si>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</si>
  <si>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</si>
  <si>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</si>
  <si>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</si>
  <si>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</si>
  <si>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</si>
  <si>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</si>
  <si>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</si>
  <si>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</si>
  <si>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</si>
  <si>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</si>
  <si>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</si>
  <si>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</si>
  <si>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</si>
  <si>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</si>
  <si>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</si>
  <si>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</si>
  <si>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</si>
  <si>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</si>
  <si>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</si>
  <si>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</si>
  <si>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</si>
  <si>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</si>
  <si>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</si>
  <si>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</si>
  <si>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</si>
  <si>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</si>
  <si>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</si>
  <si>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</si>
  <si>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</si>
  <si>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</si>
  <si>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</si>
  <si>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</si>
  <si>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</si>
  <si>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</si>
  <si>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</si>
  <si>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</si>
  <si>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</si>
  <si>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</si>
  <si>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</si>
  <si>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</si>
  <si>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</si>
  <si>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</si>
  <si>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</si>
  <si>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</si>
  <si>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</si>
  <si>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</si>
  <si>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</si>
  <si>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</si>
  <si>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</si>
  <si>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</si>
  <si>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</si>
  <si>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</si>
  <si>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</si>
  <si>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</si>
  <si>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</si>
  <si>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</si>
  <si>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</si>
  <si>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</si>
  <si>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</si>
  <si>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</si>
  <si>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</si>
  <si>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</si>
  <si>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</si>
  <si>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</si>
  <si>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</si>
  <si>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</si>
  <si>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</si>
  <si>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</si>
  <si>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</si>
  <si>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</si>
  <si>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</si>
  <si>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</si>
  <si>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</si>
  <si>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</si>
  <si>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</si>
  <si>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</si>
  <si>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</si>
  <si>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</si>
  <si>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</si>
  <si>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</si>
  <si>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</si>
  <si>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</si>
  <si>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</si>
  <si>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</si>
  <si>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</si>
  <si>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</si>
  <si>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</si>
  <si>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</si>
  <si>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</si>
  <si>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</si>
  <si>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</si>
  <si>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</si>
  <si>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</si>
  <si>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</si>
  <si>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</si>
  <si>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</si>
  <si>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</si>
  <si>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</si>
  <si>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</si>
  <si>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</si>
  <si>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</si>
  <si>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</si>
  <si>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</si>
  <si>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</si>
  <si>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</si>
  <si>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</si>
  <si>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</si>
  <si>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</si>
  <si>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</si>
  <si>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</si>
  <si>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</si>
  <si>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</si>
  <si>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</si>
  <si>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</si>
  <si>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</si>
  <si>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</si>
  <si>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</si>
  <si>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</si>
  <si>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</si>
  <si>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</si>
  <si>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</si>
  <si>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</si>
  <si>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</si>
  <si>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</si>
  <si>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</si>
  <si>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</si>
  <si>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</si>
  <si>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</si>
  <si>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</si>
  <si>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</si>
  <si>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</si>
  <si>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</si>
  <si>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</si>
  <si>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</si>
  <si>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</si>
  <si>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</si>
  <si>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</si>
  <si>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</si>
  <si>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</si>
  <si>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</si>
  <si>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</si>
  <si>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</si>
  <si>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</si>
  <si>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</si>
  <si>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</si>
  <si>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</si>
  <si>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</si>
  <si>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</si>
  <si>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</si>
  <si>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</si>
  <si>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</si>
  <si>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</si>
  <si>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</si>
  <si>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</si>
  <si>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</si>
  <si>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</si>
  <si>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</si>
  <si>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</si>
  <si>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</si>
  <si>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</si>
  <si>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</si>
  <si>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</si>
  <si>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</si>
  <si>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</si>
  <si>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</si>
  <si>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</si>
  <si>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</si>
  <si>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</si>
  <si>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</si>
  <si>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</si>
  <si>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</si>
  <si>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</si>
  <si>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</si>
  <si>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</si>
  <si>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</si>
  <si>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</si>
  <si>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</si>
  <si>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</si>
  <si>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</si>
  <si>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</si>
  <si>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</si>
  <si>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</si>
  <si>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</si>
  <si>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</si>
  <si>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</si>
  <si>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</si>
  <si>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</si>
  <si>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</si>
  <si>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</si>
  <si>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</si>
  <si>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</si>
  <si>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</si>
  <si>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</si>
  <si>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</si>
  <si>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</si>
  <si>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</si>
  <si>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</si>
  <si>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</si>
  <si>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</si>
  <si>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</si>
  <si>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</si>
  <si>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</si>
  <si>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</si>
  <si>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</si>
  <si>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</si>
  <si>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Komín</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</si>
  <si>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</si>
  <si>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</si>
  <si>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</si>
  <si>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</si>
  <si>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</si>
  <si>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</si>
  <si>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</si>
  <si>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</si>
  <si>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</si>
  <si>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</si>
  <si>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</si>
  <si>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</si>
  <si>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</si>
  <si>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</si>
  <si>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</si>
  <si>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</si>
  <si>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</si>
  <si>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</si>
  <si>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</si>
  <si>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</si>
  <si>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</si>
  <si>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</si>
  <si>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</si>
  <si>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</si>
  <si>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</si>
  <si>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</si>
  <si>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</si>
  <si>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</si>
  <si>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</si>
  <si>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</si>
  <si>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</si>
  <si>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</si>
  <si>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</si>
  <si>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</si>
  <si>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</si>
  <si>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</si>
  <si>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</si>
  <si>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</si>
  <si>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</si>
  <si>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</si>
  <si>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</si>
  <si>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</si>
  <si>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</si>
  <si>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</si>
  <si>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</si>
  <si>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</si>
  <si>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</si>
  <si>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</si>
  <si>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</si>
  <si>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</si>
  <si>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</si>
  <si>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</si>
  <si>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</si>
  <si>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</si>
  <si>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</si>
  <si>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</si>
  <si>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</si>
  <si>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</si>
  <si>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</si>
  <si>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</si>
  <si>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</si>
  <si>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</si>
  <si>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</si>
  <si>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</si>
  <si>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</si>
  <si>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</si>
  <si>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</si>
  <si>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</si>
  <si>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</si>
  <si>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</si>
  <si>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</si>
  <si>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</si>
  <si>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</si>
  <si>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</si>
  <si>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</si>
  <si>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</si>
  <si>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</si>
  <si>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</si>
  <si>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</si>
  <si>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</si>
  <si>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</si>
  <si>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</si>
  <si>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</si>
  <si>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</si>
  <si>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</si>
  <si>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</si>
  <si>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</si>
  <si>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</si>
  <si>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</si>
  <si>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</si>
  <si>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</si>
  <si>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</si>
  <si>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</si>
  <si>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</si>
  <si>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</si>
  <si>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</si>
  <si>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</si>
  <si>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</si>
  <si>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</si>
  <si>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</si>
  <si>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</si>
  <si>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</si>
  <si>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</si>
  <si>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</si>
  <si>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</si>
  <si>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</si>
  <si>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</si>
  <si>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</si>
  <si>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</si>
  <si>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</si>
  <si>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</si>
  <si>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</si>
  <si>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</si>
  <si>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</si>
  <si>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</si>
  <si>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</si>
  <si>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</si>
  <si>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</si>
  <si>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</si>
  <si>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</si>
  <si>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</si>
  <si>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</si>
  <si>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</si>
  <si>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</si>
  <si>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</si>
  <si>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</si>
  <si>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</si>
  <si>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</si>
  <si>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</si>
  <si>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</si>
  <si>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</si>
  <si>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</si>
  <si>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</si>
  <si>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</si>
  <si>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</si>
  <si>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</si>
  <si>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</si>
  <si>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</si>
  <si>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</si>
  <si>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</si>
  <si>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</si>
  <si>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</si>
  <si>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</si>
  <si>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</si>
  <si>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</si>
  <si>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</si>
  <si>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</si>
  <si>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</si>
  <si>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</si>
  <si>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</si>
  <si>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</si>
  <si>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</si>
  <si>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</si>
  <si>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</si>
  <si>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</si>
  <si>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</si>
  <si>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</si>
  <si>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</si>
  <si>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</si>
  <si>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</si>
  <si>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</si>
  <si>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</si>
  <si>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</si>
  <si>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</si>
  <si>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</si>
  <si>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</si>
  <si>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</si>
  <si>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</si>
  <si>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</si>
  <si>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</si>
  <si>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</si>
  <si>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</si>
  <si>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</si>
  <si>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</si>
  <si>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</si>
  <si>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</si>
  <si>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</si>
  <si>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</si>
  <si>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</si>
  <si>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</si>
  <si>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</si>
  <si>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</si>
  <si>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</si>
  <si>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</si>
  <si>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</si>
  <si>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</si>
  <si>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</si>
  <si>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</si>
  <si>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</si>
  <si>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</si>
  <si>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</si>
  <si>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</si>
  <si>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</si>
  <si>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</si>
  <si>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</si>
  <si>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</si>
  <si>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</si>
  <si>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</si>
  <si>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</si>
  <si>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</si>
  <si>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</si>
  <si>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</si>
  <si>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</si>
  <si>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</si>
  <si>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</si>
  <si>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</si>
  <si>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</si>
  <si>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</si>
  <si>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</si>
  <si>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</si>
  <si>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</si>
  <si>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</si>
  <si>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</si>
  <si>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</si>
  <si>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</si>
  <si>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</si>
  <si>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</si>
  <si>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</si>
  <si>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</si>
  <si>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</si>
  <si>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</si>
  <si>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</si>
  <si>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</si>
  <si>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</si>
  <si>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</si>
  <si>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</si>
  <si>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</si>
  <si>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</si>
  <si>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</si>
  <si>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</si>
  <si>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</si>
  <si>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</si>
  <si>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</si>
  <si>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</si>
  <si>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</si>
  <si>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</si>
  <si>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</si>
  <si>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</si>
  <si>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</si>
  <si>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</si>
  <si>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</si>
  <si>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</si>
  <si>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</si>
  <si>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</si>
  <si>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</si>
  <si>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</si>
  <si>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</si>
  <si>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</si>
  <si>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</si>
  <si>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</si>
  <si>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</si>
  <si>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</si>
  <si>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</si>
  <si>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</si>
  <si>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</si>
  <si>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</si>
  <si>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</si>
  <si>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</si>
  <si>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</si>
  <si>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</si>
  <si>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</si>
  <si>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</si>
  <si>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</si>
  <si>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</si>
  <si>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</si>
  <si>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</si>
  <si>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</si>
  <si>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</si>
  <si>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</si>
  <si>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</si>
  <si>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</si>
  <si>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</si>
  <si>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</si>
  <si>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</si>
  <si>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</si>
  <si>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</si>
  <si>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</si>
  <si>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</si>
  <si>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</si>
  <si>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</si>
  <si>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</si>
  <si>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</si>
  <si>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</si>
  <si>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</si>
  <si>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</si>
  <si>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</si>
  <si>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</si>
  <si>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</si>
  <si>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</si>
  <si>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</si>
  <si>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</si>
  <si>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</si>
  <si>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</si>
  <si>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</si>
  <si>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</si>
  <si>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</si>
  <si>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</si>
  <si>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</si>
  <si>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</si>
  <si>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</si>
  <si>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</si>
  <si>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</si>
  <si>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</si>
  <si>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</si>
  <si>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</si>
  <si>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</si>
  <si>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</si>
  <si>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</si>
  <si>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</si>
  <si>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</si>
  <si>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</si>
  <si>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</si>
  <si>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</si>
  <si>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</si>
  <si>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</si>
  <si>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</si>
  <si>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</si>
  <si>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</si>
  <si>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</si>
  <si>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</si>
  <si>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</si>
  <si>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</si>
  <si>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</si>
  <si>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</si>
  <si>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</si>
  <si>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</si>
  <si>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</si>
  <si>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</si>
  <si>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</si>
  <si>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</si>
  <si>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</si>
  <si>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</si>
  <si>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</si>
  <si>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</si>
  <si>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</si>
  <si>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</si>
  <si>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</si>
  <si>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</si>
  <si>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</si>
  <si>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</si>
  <si>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</si>
  <si>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</si>
  <si>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</si>
  <si>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</si>
  <si>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</si>
  <si>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</si>
  <si>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</si>
  <si>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</si>
  <si>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</si>
  <si>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</si>
  <si>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MČR klubů 1.kolo</t>
  </si>
  <si>
    <t>Náměšť na Hané</t>
  </si>
  <si>
    <t>HAPEK</t>
  </si>
  <si>
    <t>Orlová</t>
  </si>
  <si>
    <t>MČR 1x1</t>
  </si>
  <si>
    <t>MČR 3x3</t>
  </si>
  <si>
    <t>MČR klubů 2.kolo</t>
  </si>
  <si>
    <t>Hartvíkovice</t>
  </si>
  <si>
    <t>O pohár města Brna - VARS Cup</t>
  </si>
  <si>
    <t>MČR 2x2</t>
  </si>
  <si>
    <t>MČR klubů 3.kolo</t>
  </si>
  <si>
    <t>Grand Prix Egrensis</t>
  </si>
  <si>
    <t>MEVA Cup</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</si>
  <si>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</si>
  <si>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</si>
  <si>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</si>
  <si>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</si>
  <si>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</si>
  <si>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</si>
  <si>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</si>
  <si>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</si>
  <si>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</si>
  <si>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</si>
  <si>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</si>
  <si>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</si>
  <si>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</si>
  <si>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</si>
  <si>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</si>
  <si>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</si>
  <si>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</si>
  <si>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</si>
  <si>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</si>
  <si>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</si>
  <si>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</si>
  <si>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</si>
  <si>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</si>
  <si>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</si>
  <si>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</si>
  <si>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</si>
  <si>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</si>
  <si>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</si>
  <si>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</si>
  <si>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</si>
  <si>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</si>
  <si>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</si>
  <si>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</si>
  <si>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</si>
  <si>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</si>
  <si>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</si>
  <si>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</si>
  <si>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</si>
  <si>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</si>
  <si>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</si>
  <si>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</si>
  <si>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</si>
  <si>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</si>
  <si>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</si>
  <si>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</si>
  <si>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</si>
  <si>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</si>
  <si>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</si>
  <si>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</si>
  <si>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</si>
  <si>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</si>
  <si>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</si>
  <si>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</si>
  <si>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</si>
  <si>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</si>
  <si>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</si>
  <si>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</si>
  <si>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</si>
  <si>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</si>
  <si>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</si>
  <si>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</si>
  <si>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Salač</t>
  </si>
  <si>
    <t>Schaal</t>
  </si>
  <si>
    <t>Skokan</t>
  </si>
  <si>
    <t>Martina</t>
  </si>
  <si>
    <t>Slaný</t>
  </si>
  <si>
    <t>Slapnička</t>
  </si>
  <si>
    <t>Sládková</t>
  </si>
  <si>
    <t>Vajová</t>
  </si>
  <si>
    <t>Zátka</t>
  </si>
  <si>
    <t>Šimíček</t>
  </si>
  <si>
    <t>Škobrtal</t>
  </si>
  <si>
    <t>Špannerová</t>
  </si>
  <si>
    <t>Špiclová</t>
  </si>
  <si>
    <t>Adéla</t>
  </si>
  <si>
    <t>Žipková</t>
  </si>
  <si>
    <t>Soubor lze zálohovat stiskem tlačítka Zálohování souboru na listu Start.listina.</t>
  </si>
  <si>
    <t>O pohár města Slatiňan a cenu kladrubského vraníka</t>
  </si>
  <si>
    <t>04.02.2017</t>
  </si>
  <si>
    <t>Slatiňany u Chrudimi</t>
  </si>
  <si>
    <t>SVĚDEK - Světový den koulí</t>
  </si>
  <si>
    <t>11.03.2017</t>
  </si>
  <si>
    <t>Jarní Lipnické koule</t>
  </si>
  <si>
    <t>18.03.2017</t>
  </si>
  <si>
    <t>Lipník-fotbalové hřiště</t>
  </si>
  <si>
    <t>Pétanque na Výsluní</t>
  </si>
  <si>
    <t>25.03.2017</t>
  </si>
  <si>
    <t>Chrudim, restaurace Na Kopci</t>
  </si>
  <si>
    <t>VC pivovaru LITOVEL</t>
  </si>
  <si>
    <t>01.04.2017</t>
  </si>
  <si>
    <t>Čerlinka CUP</t>
  </si>
  <si>
    <t>08.04.2017</t>
  </si>
  <si>
    <t>Košonek Zdenka Vavroviče</t>
  </si>
  <si>
    <t>Ostře sledované koule</t>
  </si>
  <si>
    <t>15.04.2017</t>
  </si>
  <si>
    <t>22.04.2017</t>
  </si>
  <si>
    <t>21. Prvomájové koule Barona Prášila</t>
  </si>
  <si>
    <t>29.04.2017</t>
  </si>
  <si>
    <t>Grand prix Mariánských lázní</t>
  </si>
  <si>
    <t>Mariánské Lázně</t>
  </si>
  <si>
    <t>SKP Hranice VI. - Valšovice</t>
  </si>
  <si>
    <t>Přístavní turnaj Piráta Morgana</t>
  </si>
  <si>
    <t>30.04.2017</t>
  </si>
  <si>
    <t>Velká cena Medlešického pivovaru o PÉTANQUE SRDCE</t>
  </si>
  <si>
    <t>01.05.2017</t>
  </si>
  <si>
    <t>Chrudim-Medlešice</t>
  </si>
  <si>
    <t>PC LEAP</t>
  </si>
  <si>
    <t>Prvomájový Lipnický turnaj</t>
  </si>
  <si>
    <t>CENTROPE POLSKO</t>
  </si>
  <si>
    <t>06.05.2017</t>
  </si>
  <si>
    <t>POLSKO</t>
  </si>
  <si>
    <t>MČR Juniorů</t>
  </si>
  <si>
    <t>Zubří u Nového Města na Moravě</t>
  </si>
  <si>
    <t>KM</t>
  </si>
  <si>
    <t>PC Ergensis</t>
  </si>
  <si>
    <t>Poděbradka Cup 2017</t>
  </si>
  <si>
    <t>08.05.2017</t>
  </si>
  <si>
    <t>13.05.2017</t>
  </si>
  <si>
    <t>Château Náměšť</t>
  </si>
  <si>
    <t>Kulový blesk</t>
  </si>
  <si>
    <t>Stolínský mixér</t>
  </si>
  <si>
    <t>20.05.2017</t>
  </si>
  <si>
    <t>CENTROPE ČESKO</t>
  </si>
  <si>
    <t>27.05.2017</t>
  </si>
  <si>
    <t>Liblice</t>
  </si>
  <si>
    <t>03.06.2017</t>
  </si>
  <si>
    <t>CENTROPE SLOVINSKO</t>
  </si>
  <si>
    <t>10.06.2017</t>
  </si>
  <si>
    <t>SLOVINSKO</t>
  </si>
  <si>
    <t>Pepáčkovo koulení</t>
  </si>
  <si>
    <t>Kvalifikace ME 2018 1x1 ženy</t>
  </si>
  <si>
    <t>11.06.2017</t>
  </si>
  <si>
    <t>Kvalifikace ME 2018 1x1 muži</t>
  </si>
  <si>
    <t>MČR 3x3 muži - kvalifikace na MS 2018</t>
  </si>
  <si>
    <t>17.06.2017</t>
  </si>
  <si>
    <t>Pétanque na zámku</t>
  </si>
  <si>
    <t>18.06.2017</t>
  </si>
  <si>
    <t>Hrochův Týnec</t>
  </si>
  <si>
    <t>24.06.2017</t>
  </si>
  <si>
    <t>MČR ve střelbě na přesnost</t>
  </si>
  <si>
    <t>25.06.2017</t>
  </si>
  <si>
    <t>CENTROPE MAĎARSKO</t>
  </si>
  <si>
    <t>01.07.2017</t>
  </si>
  <si>
    <t>MAĎARSKO</t>
  </si>
  <si>
    <t>Turnaj generací</t>
  </si>
  <si>
    <t>Vo Jarinovy koule 21. ročník</t>
  </si>
  <si>
    <t>O brněnskou kouli - XXII. ročník</t>
  </si>
  <si>
    <t>05.07.2017</t>
  </si>
  <si>
    <t>Ratišovice</t>
  </si>
  <si>
    <t>XXI. Kolovská koule</t>
  </si>
  <si>
    <t>Memoriál CdP Loděnice</t>
  </si>
  <si>
    <t>08.07.2017</t>
  </si>
  <si>
    <t>MČR 3x3 ženy - kvalifikace na ME 2018</t>
  </si>
  <si>
    <t>HRODE Krumsín</t>
  </si>
  <si>
    <t>09.07.2017</t>
  </si>
  <si>
    <t>15.07.2017</t>
  </si>
  <si>
    <t>Hanácký Master Cup - MIX</t>
  </si>
  <si>
    <t>Sokolovna Litovel</t>
  </si>
  <si>
    <t>Slunce, seno, pétanque</t>
  </si>
  <si>
    <t>22.07.2017</t>
  </si>
  <si>
    <t>Krumsínská HRODA</t>
  </si>
  <si>
    <t>Turnaj 2x2</t>
  </si>
  <si>
    <t>Petank Club Praha</t>
  </si>
  <si>
    <t>Grand prix d'Austerlitz</t>
  </si>
  <si>
    <t>29.07.2017</t>
  </si>
  <si>
    <t>Slavkov</t>
  </si>
  <si>
    <t>Stolínský křečák - memoriál Jaroslava Smoly - 21. ročník</t>
  </si>
  <si>
    <t>MČR 2x2 MIX</t>
  </si>
  <si>
    <t>05.08.2017</t>
  </si>
  <si>
    <t>12.08.2017</t>
  </si>
  <si>
    <t>GEKON - O křišťálovou tašku</t>
  </si>
  <si>
    <t>19.08.2017</t>
  </si>
  <si>
    <t>MČR 55 PLUS</t>
  </si>
  <si>
    <t>CENTROPE SLOVENSKO</t>
  </si>
  <si>
    <t>26.08.2017</t>
  </si>
  <si>
    <t>SLOVENSKO</t>
  </si>
  <si>
    <t>O Kořist z Mordové rokle</t>
  </si>
  <si>
    <t>02.09.2017</t>
  </si>
  <si>
    <t>Hrad Veveří</t>
  </si>
  <si>
    <t>Medlešická Pecka</t>
  </si>
  <si>
    <t>03.09.2017</t>
  </si>
  <si>
    <t>CENTROPE RAKOUSKO</t>
  </si>
  <si>
    <t>09.09.2017</t>
  </si>
  <si>
    <t>RAKOUSKO</t>
  </si>
  <si>
    <t>Orlovský Kahan</t>
  </si>
  <si>
    <t>16.09.2017</t>
  </si>
  <si>
    <t>MČR klubů - FINÁLE</t>
  </si>
  <si>
    <t>23.09.2017</t>
  </si>
  <si>
    <t>Golden Prague Cup</t>
  </si>
  <si>
    <t>28.09.2017</t>
  </si>
  <si>
    <t>30.09.2017</t>
  </si>
  <si>
    <t>07.10.2017</t>
  </si>
  <si>
    <t>Koule z Aurory</t>
  </si>
  <si>
    <t>14.10.2017</t>
  </si>
  <si>
    <t>21.10.2017</t>
  </si>
  <si>
    <t>Podzimní Lipnické koule</t>
  </si>
  <si>
    <t>28.10.2017</t>
  </si>
  <si>
    <t>04.11.2017</t>
  </si>
  <si>
    <t>Přebor KV a PLZ kraje - memoriál Mirka Valenty</t>
  </si>
  <si>
    <t>FISHING Cup</t>
  </si>
  <si>
    <t>11.11.2017</t>
  </si>
  <si>
    <t>21. Přimrzlé koule</t>
  </si>
  <si>
    <t>02.12.2017</t>
  </si>
  <si>
    <t>Balajka</t>
  </si>
  <si>
    <t>Balík</t>
  </si>
  <si>
    <t>Bambous</t>
  </si>
  <si>
    <t>Barák</t>
  </si>
  <si>
    <t>Orel Řečkovice</t>
  </si>
  <si>
    <t>Bayer Kamarádová</t>
  </si>
  <si>
    <t>Bačo</t>
  </si>
  <si>
    <t>Bejšovec</t>
  </si>
  <si>
    <t>Benčík</t>
  </si>
  <si>
    <t>PK Sezemice</t>
  </si>
  <si>
    <t>Botek</t>
  </si>
  <si>
    <t>Boubínová</t>
  </si>
  <si>
    <t>Bozděch</t>
  </si>
  <si>
    <t>CP Vary</t>
  </si>
  <si>
    <t>Bozděchová</t>
  </si>
  <si>
    <t>Bořánek</t>
  </si>
  <si>
    <t>Bowle 09 Klatovy</t>
  </si>
  <si>
    <t>Brandýský</t>
  </si>
  <si>
    <t>Braunová</t>
  </si>
  <si>
    <t>Brdíčko</t>
  </si>
  <si>
    <t>Brichta</t>
  </si>
  <si>
    <t>Brinzík</t>
  </si>
  <si>
    <t>Štefan</t>
  </si>
  <si>
    <t>Bruner</t>
  </si>
  <si>
    <t>Bubeníková</t>
  </si>
  <si>
    <t>Buchta</t>
  </si>
  <si>
    <t>Buchtele</t>
  </si>
  <si>
    <t>Petr St.</t>
  </si>
  <si>
    <t>Bukalová</t>
  </si>
  <si>
    <t>Charvátová</t>
  </si>
  <si>
    <t>Cheikh</t>
  </si>
  <si>
    <t>Alaeddine</t>
  </si>
  <si>
    <t>Yvetta</t>
  </si>
  <si>
    <t>Chocholouš</t>
  </si>
  <si>
    <t>Christovová</t>
  </si>
  <si>
    <t>SK Španielka Řepy</t>
  </si>
  <si>
    <t>Chuchla</t>
  </si>
  <si>
    <t>Chvátalová</t>
  </si>
  <si>
    <t>Cimala</t>
  </si>
  <si>
    <t>Csibrei</t>
  </si>
  <si>
    <t>Sokol Staříč</t>
  </si>
  <si>
    <t>Defer</t>
  </si>
  <si>
    <t>Thierry</t>
  </si>
  <si>
    <t>Doubrava</t>
  </si>
  <si>
    <t>Douděrová</t>
  </si>
  <si>
    <t>Bohuslava</t>
  </si>
  <si>
    <t>Drahovzal</t>
  </si>
  <si>
    <t>Drmolová</t>
  </si>
  <si>
    <t>Dudašková</t>
  </si>
  <si>
    <t>Dudášková</t>
  </si>
  <si>
    <t>Dušáková</t>
  </si>
  <si>
    <t>Hedvika</t>
  </si>
  <si>
    <t>Dřevojan</t>
  </si>
  <si>
    <t>PC Mimo Done</t>
  </si>
  <si>
    <t>Ečerová</t>
  </si>
  <si>
    <t>Fajmon</t>
  </si>
  <si>
    <t>Stanislav ml.</t>
  </si>
  <si>
    <t>Fedor</t>
  </si>
  <si>
    <t>Fitzner</t>
  </si>
  <si>
    <t>Froňková</t>
  </si>
  <si>
    <t>Fryš</t>
  </si>
  <si>
    <t>Fára</t>
  </si>
  <si>
    <t>Fárová</t>
  </si>
  <si>
    <t>Gardáš</t>
  </si>
  <si>
    <t>Gazdová</t>
  </si>
  <si>
    <t>Gazdíková</t>
  </si>
  <si>
    <t>Gerle</t>
  </si>
  <si>
    <t>Gruberová</t>
  </si>
  <si>
    <t>Gröschl</t>
  </si>
  <si>
    <t>Górski</t>
  </si>
  <si>
    <t>Pawel</t>
  </si>
  <si>
    <t>Habásková</t>
  </si>
  <si>
    <t>Handl</t>
  </si>
  <si>
    <t>Hanuš</t>
  </si>
  <si>
    <t>Hanák</t>
  </si>
  <si>
    <t>Hanč</t>
  </si>
  <si>
    <t>Nella</t>
  </si>
  <si>
    <t>Havel</t>
  </si>
  <si>
    <t>Havlová</t>
  </si>
  <si>
    <t>Havlátová</t>
  </si>
  <si>
    <t>Hercoková</t>
  </si>
  <si>
    <t>Milena</t>
  </si>
  <si>
    <t>Sokol Kostomlaty</t>
  </si>
  <si>
    <t>Hladík</t>
  </si>
  <si>
    <t>Hledík</t>
  </si>
  <si>
    <t>Hledíková</t>
  </si>
  <si>
    <t>Hodboďová</t>
  </si>
  <si>
    <t>Holoubek</t>
  </si>
  <si>
    <t>Horálek</t>
  </si>
  <si>
    <t>Horčica</t>
  </si>
  <si>
    <t>Horčicová</t>
  </si>
  <si>
    <t>Tereza</t>
  </si>
  <si>
    <t>Houžka</t>
  </si>
  <si>
    <t>Hošková</t>
  </si>
  <si>
    <t>Hrotík</t>
  </si>
  <si>
    <t>Igor</t>
  </si>
  <si>
    <t>Hrubý</t>
  </si>
  <si>
    <t>Oskar</t>
  </si>
  <si>
    <t>HAVAJ CB</t>
  </si>
  <si>
    <t>Hruška</t>
  </si>
  <si>
    <t>Hudos</t>
  </si>
  <si>
    <t>Hutáková</t>
  </si>
  <si>
    <t>Hykl</t>
  </si>
  <si>
    <t>Spolek Park Grébovka</t>
  </si>
  <si>
    <t>Hynková</t>
  </si>
  <si>
    <t>Hůrek</t>
  </si>
  <si>
    <t>Hůrka</t>
  </si>
  <si>
    <t>Hůrková</t>
  </si>
  <si>
    <t>Jindra</t>
  </si>
  <si>
    <t>Jablonský</t>
  </si>
  <si>
    <t>Jagoš</t>
  </si>
  <si>
    <t>Janeček</t>
  </si>
  <si>
    <t>Jankovský</t>
  </si>
  <si>
    <t>Janoš</t>
  </si>
  <si>
    <t>Jarošová</t>
  </si>
  <si>
    <t>Vladislav St.</t>
  </si>
  <si>
    <t>Jeřichová</t>
  </si>
  <si>
    <t>Jeřábková</t>
  </si>
  <si>
    <t>Jiřík</t>
  </si>
  <si>
    <t>Johnová</t>
  </si>
  <si>
    <t>Jonášová</t>
  </si>
  <si>
    <t>Jurčičková</t>
  </si>
  <si>
    <t>Jílek</t>
  </si>
  <si>
    <t>Kalianko</t>
  </si>
  <si>
    <t>Karban</t>
  </si>
  <si>
    <t>Kavinová</t>
  </si>
  <si>
    <t>Kašparová</t>
  </si>
  <si>
    <t>Kernerová</t>
  </si>
  <si>
    <t>Michala</t>
  </si>
  <si>
    <t>Ketman</t>
  </si>
  <si>
    <t>Vlastimil</t>
  </si>
  <si>
    <t>Kikalová</t>
  </si>
  <si>
    <t>Klazarová</t>
  </si>
  <si>
    <t>Klouda</t>
  </si>
  <si>
    <t>Kloudová</t>
  </si>
  <si>
    <t>Klír</t>
  </si>
  <si>
    <t>Kobr</t>
  </si>
  <si>
    <t>Štěpán</t>
  </si>
  <si>
    <t>Kobrová</t>
  </si>
  <si>
    <t>Kohutová</t>
  </si>
  <si>
    <t>Kolaříková</t>
  </si>
  <si>
    <t>Josefína</t>
  </si>
  <si>
    <t>Robin</t>
  </si>
  <si>
    <t>Konšelová</t>
  </si>
  <si>
    <t>Končeková</t>
  </si>
  <si>
    <t>Zdena</t>
  </si>
  <si>
    <t>Korselt</t>
  </si>
  <si>
    <t>Kot</t>
  </si>
  <si>
    <t>Kotová</t>
  </si>
  <si>
    <t>Kousalová</t>
  </si>
  <si>
    <t>Kovářová</t>
  </si>
  <si>
    <t>Kočandrle</t>
  </si>
  <si>
    <t>Kočová</t>
  </si>
  <si>
    <t>Krause</t>
  </si>
  <si>
    <t>Krejčířová</t>
  </si>
  <si>
    <t>Magda</t>
  </si>
  <si>
    <t>Kremlík</t>
  </si>
  <si>
    <t>Krupica</t>
  </si>
  <si>
    <t>Krupicová</t>
  </si>
  <si>
    <t>Krystková</t>
  </si>
  <si>
    <t>Krčková</t>
  </si>
  <si>
    <t>Kubánek</t>
  </si>
  <si>
    <t>Kubát</t>
  </si>
  <si>
    <t>Kula</t>
  </si>
  <si>
    <t>Kunert</t>
  </si>
  <si>
    <t>Kára</t>
  </si>
  <si>
    <t>Lacko</t>
  </si>
  <si>
    <t>Matúš</t>
  </si>
  <si>
    <t>Leistnerová</t>
  </si>
  <si>
    <t>Lelek</t>
  </si>
  <si>
    <t>Lengál</t>
  </si>
  <si>
    <t>Lhoták</t>
  </si>
  <si>
    <t>Llupi</t>
  </si>
  <si>
    <t>Alfons</t>
  </si>
  <si>
    <t>Lochman</t>
  </si>
  <si>
    <t>PLUK Jablonec</t>
  </si>
  <si>
    <t>Lux-Šatrová</t>
  </si>
  <si>
    <t>Macek</t>
  </si>
  <si>
    <t>Majer</t>
  </si>
  <si>
    <t>Majerová</t>
  </si>
  <si>
    <t>Malý</t>
  </si>
  <si>
    <t>Kryštof</t>
  </si>
  <si>
    <t>Marková</t>
  </si>
  <si>
    <t>Johana</t>
  </si>
  <si>
    <t>Maršík</t>
  </si>
  <si>
    <t>Melen</t>
  </si>
  <si>
    <t>Merta</t>
  </si>
  <si>
    <t>Jáchym</t>
  </si>
  <si>
    <t>Mertová</t>
  </si>
  <si>
    <t>Anežka</t>
  </si>
  <si>
    <t>Mifka</t>
  </si>
  <si>
    <t>Mikyška</t>
  </si>
  <si>
    <t>Morávek</t>
  </si>
  <si>
    <t>Mour</t>
  </si>
  <si>
    <t>Moučková</t>
  </si>
  <si>
    <t>Mrowiec</t>
  </si>
  <si>
    <t>Müller</t>
  </si>
  <si>
    <t>Müllerová</t>
  </si>
  <si>
    <t>Mýl</t>
  </si>
  <si>
    <t>Nacu</t>
  </si>
  <si>
    <t>Romain</t>
  </si>
  <si>
    <t>Nepomucký</t>
  </si>
  <si>
    <t>Nevrlý</t>
  </si>
  <si>
    <t>Novotná</t>
  </si>
  <si>
    <t>Samuel</t>
  </si>
  <si>
    <t>Boris</t>
  </si>
  <si>
    <t>Němcová</t>
  </si>
  <si>
    <t>Němeček</t>
  </si>
  <si>
    <t>Pacula</t>
  </si>
  <si>
    <t>Palas</t>
  </si>
  <si>
    <t>Palicová</t>
  </si>
  <si>
    <t>Pastorek</t>
  </si>
  <si>
    <t>Pastorková</t>
  </si>
  <si>
    <t>Paterová</t>
  </si>
  <si>
    <t>Paur</t>
  </si>
  <si>
    <t>Pavlasová</t>
  </si>
  <si>
    <t>Nikola</t>
  </si>
  <si>
    <t>Pavlů</t>
  </si>
  <si>
    <t>Pechr</t>
  </si>
  <si>
    <t>Pejsar</t>
  </si>
  <si>
    <t>Pflimpflová</t>
  </si>
  <si>
    <t>Pleva</t>
  </si>
  <si>
    <t>Prajer</t>
  </si>
  <si>
    <t>Pražáková</t>
  </si>
  <si>
    <t>Procházka</t>
  </si>
  <si>
    <t>Proseč</t>
  </si>
  <si>
    <t>Provazníková</t>
  </si>
  <si>
    <t>Ptáček</t>
  </si>
  <si>
    <t>Pšenička</t>
  </si>
  <si>
    <t>Přikryl</t>
  </si>
  <si>
    <t>Rendek</t>
  </si>
  <si>
    <t>Rod</t>
  </si>
  <si>
    <t>Rodková</t>
  </si>
  <si>
    <t>Rodová</t>
  </si>
  <si>
    <t>Rovný</t>
  </si>
  <si>
    <t>Rozsypalová</t>
  </si>
  <si>
    <t>Valerija</t>
  </si>
  <si>
    <t>Ryvola</t>
  </si>
  <si>
    <t>Rážová</t>
  </si>
  <si>
    <t>Milada</t>
  </si>
  <si>
    <t>Rückerová</t>
  </si>
  <si>
    <t>Salva</t>
  </si>
  <si>
    <t>Schneider</t>
  </si>
  <si>
    <t>Jörg</t>
  </si>
  <si>
    <t>Semotam</t>
  </si>
  <si>
    <t>Sjögren</t>
  </si>
  <si>
    <t>Skala</t>
  </si>
  <si>
    <t>Skopal</t>
  </si>
  <si>
    <t>Skuhrovec</t>
  </si>
  <si>
    <t>Slezák</t>
  </si>
  <si>
    <t>Sláma</t>
  </si>
  <si>
    <t>Smieško</t>
  </si>
  <si>
    <t>Smitek</t>
  </si>
  <si>
    <t>Sojková</t>
  </si>
  <si>
    <t>Soukup</t>
  </si>
  <si>
    <t>Soukupová</t>
  </si>
  <si>
    <t>Spilková Hledíková</t>
  </si>
  <si>
    <t>Staněk</t>
  </si>
  <si>
    <t>Strouhalová</t>
  </si>
  <si>
    <t>Terezie</t>
  </si>
  <si>
    <t>Sudoměřický</t>
  </si>
  <si>
    <t>Szitányiová</t>
  </si>
  <si>
    <t>Tieku</t>
  </si>
  <si>
    <t>Tony</t>
  </si>
  <si>
    <t>Tintěrová</t>
  </si>
  <si>
    <t>Tkadlecová</t>
  </si>
  <si>
    <t>Tomášek</t>
  </si>
  <si>
    <t>Tourek</t>
  </si>
  <si>
    <t>Točíková</t>
  </si>
  <si>
    <t>Tuša</t>
  </si>
  <si>
    <t>Tymeš ml.</t>
  </si>
  <si>
    <t>Ulmann</t>
  </si>
  <si>
    <t>Vais</t>
  </si>
  <si>
    <t>Van Den Heuvel</t>
  </si>
  <si>
    <t>Johannes Lambertus</t>
  </si>
  <si>
    <t>Petr ml.</t>
  </si>
  <si>
    <t>Petr st.</t>
  </si>
  <si>
    <t>Vaňková</t>
  </si>
  <si>
    <t>Zhi Jing</t>
  </si>
  <si>
    <t>Vedral</t>
  </si>
  <si>
    <t>Vedralová</t>
  </si>
  <si>
    <t>Vejvoda</t>
  </si>
  <si>
    <t>Vicari</t>
  </si>
  <si>
    <t>Savino</t>
  </si>
  <si>
    <t>Vignolo</t>
  </si>
  <si>
    <t>Phillipe</t>
  </si>
  <si>
    <t>Vilím</t>
  </si>
  <si>
    <t>Vilímová</t>
  </si>
  <si>
    <t>Visingerová</t>
  </si>
  <si>
    <t>Vondrouš</t>
  </si>
  <si>
    <t>Vorel</t>
  </si>
  <si>
    <t>Voňka</t>
  </si>
  <si>
    <t>Voříšek</t>
  </si>
  <si>
    <t>Vyoral</t>
  </si>
  <si>
    <t>Hynek</t>
  </si>
  <si>
    <t>Vápeníková</t>
  </si>
  <si>
    <t>Růženka</t>
  </si>
  <si>
    <t>Vérosta</t>
  </si>
  <si>
    <t>Waclawiková</t>
  </si>
  <si>
    <t>Agáta</t>
  </si>
  <si>
    <t>Warzecha</t>
  </si>
  <si>
    <t>Weinberger</t>
  </si>
  <si>
    <t>Zajdák</t>
  </si>
  <si>
    <t>Zbořilová</t>
  </si>
  <si>
    <t>Zderadička</t>
  </si>
  <si>
    <t>Michal ml.</t>
  </si>
  <si>
    <t>Zeman</t>
  </si>
  <si>
    <t>Zikmunda</t>
  </si>
  <si>
    <t>Matěj</t>
  </si>
  <si>
    <t>Zikmundová</t>
  </si>
  <si>
    <t>Magdalena</t>
  </si>
  <si>
    <t>Zálešák</t>
  </si>
  <si>
    <t>Šamšulová</t>
  </si>
  <si>
    <t>Šašek</t>
  </si>
  <si>
    <t>Šedivý</t>
  </si>
  <si>
    <t>Šildberger</t>
  </si>
  <si>
    <t>Šimara</t>
  </si>
  <si>
    <t>Škorničková</t>
  </si>
  <si>
    <t>Šlamborová</t>
  </si>
  <si>
    <t>Šlapanský</t>
  </si>
  <si>
    <t>Luboš St.</t>
  </si>
  <si>
    <t>Šlezarová</t>
  </si>
  <si>
    <t>Šmic</t>
  </si>
  <si>
    <t>Šolc</t>
  </si>
  <si>
    <t>Šorm</t>
  </si>
  <si>
    <t>Šormová</t>
  </si>
  <si>
    <t>Šplechtová</t>
  </si>
  <si>
    <t>Šponer</t>
  </si>
  <si>
    <t>Štrosnerová</t>
  </si>
  <si>
    <t>Šupol</t>
  </si>
  <si>
    <t>Šupolíková</t>
  </si>
  <si>
    <t>Švecová</t>
  </si>
  <si>
    <t>Žárský</t>
  </si>
  <si>
    <t>Čanda</t>
  </si>
  <si>
    <t>Čarek</t>
  </si>
  <si>
    <t>Červenková</t>
  </si>
  <si>
    <t>Čížek</t>
  </si>
  <si>
    <t>Řezník</t>
  </si>
  <si>
    <t>Alois</t>
  </si>
  <si>
    <t>Řezníková</t>
  </si>
  <si>
    <t>Řezáčová</t>
  </si>
  <si>
    <t>Svatava</t>
  </si>
  <si>
    <t>Počet přihlášených týmů: 68</t>
  </si>
  <si>
    <t>regionál</t>
  </si>
  <si>
    <t>Pořádá CdP Loděnice</t>
  </si>
  <si>
    <t>•• dvojice</t>
  </si>
  <si>
    <t>Č. licence</t>
  </si>
  <si>
    <t>Příjmení a jméno Odhlásit tým</t>
  </si>
  <si>
    <t>Síla: 92.25</t>
  </si>
  <si>
    <t>Petr ml. Vavrovič "E"</t>
  </si>
  <si>
    <t>57.250</t>
  </si>
  <si>
    <t>Jiří Froněk</t>
  </si>
  <si>
    <t>35.000</t>
  </si>
  <si>
    <t>Síla: 89.5</t>
  </si>
  <si>
    <t>Milan Demčík St.</t>
  </si>
  <si>
    <t>42.750</t>
  </si>
  <si>
    <t>Jiřina Demčíková</t>
  </si>
  <si>
    <t>46.750</t>
  </si>
  <si>
    <t>Síla: 87.844</t>
  </si>
  <si>
    <t>Petr Fafek</t>
  </si>
  <si>
    <t>51.750</t>
  </si>
  <si>
    <t>Jana Fafková</t>
  </si>
  <si>
    <t>36.094</t>
  </si>
  <si>
    <t>Síla: 80.344</t>
  </si>
  <si>
    <t>Jindřich Kauca</t>
  </si>
  <si>
    <t>49.500</t>
  </si>
  <si>
    <t>Jan Valenz</t>
  </si>
  <si>
    <t>30.844</t>
  </si>
  <si>
    <t>Síla: 80.25</t>
  </si>
  <si>
    <t>Jan Marhoul</t>
  </si>
  <si>
    <t>35.500</t>
  </si>
  <si>
    <t>Kateřina Froňková "E"</t>
  </si>
  <si>
    <t>44.750</t>
  </si>
  <si>
    <t>Síla: 76.751</t>
  </si>
  <si>
    <t>Blanka Froňková</t>
  </si>
  <si>
    <t>28.876</t>
  </si>
  <si>
    <t>Petr Morávek</t>
  </si>
  <si>
    <t>47.875</t>
  </si>
  <si>
    <t>Síla: 67.875</t>
  </si>
  <si>
    <t>Petr Mrázek</t>
  </si>
  <si>
    <t>29.750</t>
  </si>
  <si>
    <t>Miroslav Beránek</t>
  </si>
  <si>
    <t>38.125</t>
  </si>
  <si>
    <t>Síla: 65.971</t>
  </si>
  <si>
    <t>Vojtěch Lukáš</t>
  </si>
  <si>
    <t>34.189</t>
  </si>
  <si>
    <t>Markéta Palicová</t>
  </si>
  <si>
    <t>31.782</t>
  </si>
  <si>
    <t>Síla: 65.875</t>
  </si>
  <si>
    <t>Milan Mikyška</t>
  </si>
  <si>
    <t>32.125</t>
  </si>
  <si>
    <t>Miloš Přibyl</t>
  </si>
  <si>
    <t>33.750</t>
  </si>
  <si>
    <t>Síla: 62.376</t>
  </si>
  <si>
    <t>Leoš Krejčín</t>
  </si>
  <si>
    <t>31.188</t>
  </si>
  <si>
    <t>Lenka Krejčínová</t>
  </si>
  <si>
    <t>Síla: 62.251</t>
  </si>
  <si>
    <t>Jaroslava Škorničková</t>
  </si>
  <si>
    <t>29.626</t>
  </si>
  <si>
    <t>Josef Čihák</t>
  </si>
  <si>
    <t>32.625</t>
  </si>
  <si>
    <t>Síla: 58.063</t>
  </si>
  <si>
    <t>Ivo Chmelař</t>
  </si>
  <si>
    <t>29.875</t>
  </si>
  <si>
    <t>Yvetta Chmelařová</t>
  </si>
  <si>
    <t>28.188</t>
  </si>
  <si>
    <t>Síla: 57.938</t>
  </si>
  <si>
    <t>Petr Plucar</t>
  </si>
  <si>
    <t>23.188</t>
  </si>
  <si>
    <t>Ivo Kacerovský</t>
  </si>
  <si>
    <t>34.750</t>
  </si>
  <si>
    <t>Síla: 57.189</t>
  </si>
  <si>
    <t>Jan Vorel "J"</t>
  </si>
  <si>
    <t>37.500</t>
  </si>
  <si>
    <t>Vendula Boubínová</t>
  </si>
  <si>
    <t>19.689</t>
  </si>
  <si>
    <t>Síla: 55.126</t>
  </si>
  <si>
    <t>Hynek Vyoral</t>
  </si>
  <si>
    <t>31.250</t>
  </si>
  <si>
    <t>Dana Šplechtová</t>
  </si>
  <si>
    <t>23.876</t>
  </si>
  <si>
    <t>Síla: 54.563</t>
  </si>
  <si>
    <t>Pavel Mašek</t>
  </si>
  <si>
    <t>44.125</t>
  </si>
  <si>
    <t>Jiří Řezníček</t>
  </si>
  <si>
    <t>10.438</t>
  </si>
  <si>
    <t>Síla: 53.578</t>
  </si>
  <si>
    <t>Blanka Gorroňo López</t>
  </si>
  <si>
    <t>20.578</t>
  </si>
  <si>
    <t>Rubi Gorroňo López</t>
  </si>
  <si>
    <t>33.000</t>
  </si>
  <si>
    <t>Síla: 53.033</t>
  </si>
  <si>
    <t>Dana Proroková</t>
  </si>
  <si>
    <t>30.219</t>
  </si>
  <si>
    <t>Vladimír Novotný</t>
  </si>
  <si>
    <t>22.814</t>
  </si>
  <si>
    <t>Síla: 52.984</t>
  </si>
  <si>
    <t>Jiří Chalupa</t>
  </si>
  <si>
    <t>18.984</t>
  </si>
  <si>
    <t>Sylva Mandíková</t>
  </si>
  <si>
    <t>34.000</t>
  </si>
  <si>
    <t>Síla: 52.189</t>
  </si>
  <si>
    <t>Ivana Dlouhá</t>
  </si>
  <si>
    <t>26.157</t>
  </si>
  <si>
    <t>Josef Kamaryt</t>
  </si>
  <si>
    <t>26.032</t>
  </si>
  <si>
    <t>Síla: 50.127</t>
  </si>
  <si>
    <t>Rudolf Vaníček</t>
  </si>
  <si>
    <t>16.502</t>
  </si>
  <si>
    <t>Alena Vaníčková</t>
  </si>
  <si>
    <t>33.625</t>
  </si>
  <si>
    <t>Síla: 48.064</t>
  </si>
  <si>
    <t>Miloslav Zátka</t>
  </si>
  <si>
    <t>24.563</t>
  </si>
  <si>
    <t>Hana Mitkovová</t>
  </si>
  <si>
    <t>23.501</t>
  </si>
  <si>
    <t>Síla: 46.658</t>
  </si>
  <si>
    <t>Magda Sjögren</t>
  </si>
  <si>
    <t>19.751</t>
  </si>
  <si>
    <t>Petr Pilát</t>
  </si>
  <si>
    <t>26.907</t>
  </si>
  <si>
    <t>Síla: 45.783</t>
  </si>
  <si>
    <t>Tomáš Jirkovský</t>
  </si>
  <si>
    <t>20.970</t>
  </si>
  <si>
    <t>Jaroslav Felčárek</t>
  </si>
  <si>
    <t>24.813</t>
  </si>
  <si>
    <t>Síla: 44.628</t>
  </si>
  <si>
    <t>Pavel Mazúr</t>
  </si>
  <si>
    <t>18.690</t>
  </si>
  <si>
    <t>Pavla Beranová</t>
  </si>
  <si>
    <t>25.938</t>
  </si>
  <si>
    <t>Síla: 42.251</t>
  </si>
  <si>
    <t>Radim Nagy</t>
  </si>
  <si>
    <t>22.313</t>
  </si>
  <si>
    <t>Kateřina Vedralová</t>
  </si>
  <si>
    <t>19.938</t>
  </si>
  <si>
    <t>Síla: 39.455</t>
  </si>
  <si>
    <t>Václav Mráz</t>
  </si>
  <si>
    <t>20.876</t>
  </si>
  <si>
    <t>Adéla Špiclová</t>
  </si>
  <si>
    <t>18.579</t>
  </si>
  <si>
    <t>Síla: 38.317</t>
  </si>
  <si>
    <t>Pavel Kot</t>
  </si>
  <si>
    <t>21.502</t>
  </si>
  <si>
    <t>Jiřina Kotová</t>
  </si>
  <si>
    <t>16.815</t>
  </si>
  <si>
    <t>Síla: 37.064</t>
  </si>
  <si>
    <t>Zdeněk Gröschl</t>
  </si>
  <si>
    <t>18.032</t>
  </si>
  <si>
    <t>Nikola Homolková</t>
  </si>
  <si>
    <t>19.032</t>
  </si>
  <si>
    <t>Síla: 35.504</t>
  </si>
  <si>
    <t>Pavel Holoubek</t>
  </si>
  <si>
    <t>SKP Španielka Řepy</t>
  </si>
  <si>
    <t>18.564</t>
  </si>
  <si>
    <t>Miroslav Ptáček</t>
  </si>
  <si>
    <t>16.940</t>
  </si>
  <si>
    <t>Síla: 35.314</t>
  </si>
  <si>
    <t>Jaroslav Lhoták</t>
  </si>
  <si>
    <t>17.157</t>
  </si>
  <si>
    <t>Hedvika Dušáková</t>
  </si>
  <si>
    <t>18.157</t>
  </si>
  <si>
    <t>Síla: 34.125</t>
  </si>
  <si>
    <t>Jana Radoušová</t>
  </si>
  <si>
    <t>34.125</t>
  </si>
  <si>
    <t>Michal Stano</t>
  </si>
  <si>
    <t>  </t>
  </si>
  <si>
    <t>Síla: 33.909</t>
  </si>
  <si>
    <t>Iveta Hájková</t>
  </si>
  <si>
    <t>PEK STOLÍN</t>
  </si>
  <si>
    <t>12.439</t>
  </si>
  <si>
    <t>Martin Hájek Ml. "J"</t>
  </si>
  <si>
    <t>21.470</t>
  </si>
  <si>
    <t>Síla: 32.346</t>
  </si>
  <si>
    <t>Milan Špitálský</t>
  </si>
  <si>
    <t>16.595</t>
  </si>
  <si>
    <t>Eva Mrázová</t>
  </si>
  <si>
    <t>15.751</t>
  </si>
  <si>
    <t>Síla: 31.971</t>
  </si>
  <si>
    <t>Václav Slapnička</t>
  </si>
  <si>
    <t>17.251</t>
  </si>
  <si>
    <t>Ivana Lenhartová</t>
  </si>
  <si>
    <t>14.720</t>
  </si>
  <si>
    <t>Síla: 31.907</t>
  </si>
  <si>
    <t>Andrea Červenková</t>
  </si>
  <si>
    <t>23.469</t>
  </si>
  <si>
    <t>Karel Přikryl</t>
  </si>
  <si>
    <t>8.438</t>
  </si>
  <si>
    <t>Síla: 31.158</t>
  </si>
  <si>
    <t>Oldřich Mallat</t>
  </si>
  <si>
    <t>14.095</t>
  </si>
  <si>
    <t>Martin Hájek</t>
  </si>
  <si>
    <t>17.063</t>
  </si>
  <si>
    <t>Síla: 30.347</t>
  </si>
  <si>
    <t>Milena Hercoková</t>
  </si>
  <si>
    <t>15.064</t>
  </si>
  <si>
    <t>Marie Müllerová</t>
  </si>
  <si>
    <t>15.283</t>
  </si>
  <si>
    <t>Síla: 29.625</t>
  </si>
  <si>
    <t>Kateřina Hocková</t>
  </si>
  <si>
    <t>0.000</t>
  </si>
  <si>
    <t>Milan Kulhánek</t>
  </si>
  <si>
    <t>29.625</t>
  </si>
  <si>
    <t>Síla: 28.645</t>
  </si>
  <si>
    <t>Marie Pinkasová</t>
  </si>
  <si>
    <t>12.142</t>
  </si>
  <si>
    <t>Alexandra Pflimpflová</t>
  </si>
  <si>
    <t>16.503</t>
  </si>
  <si>
    <t>Síla: 25.096</t>
  </si>
  <si>
    <t>Jaroslav Pastorek</t>
  </si>
  <si>
    <t>11.532</t>
  </si>
  <si>
    <t>Jiřina Gazdíková</t>
  </si>
  <si>
    <t>13.564</t>
  </si>
  <si>
    <t>Síla: 24.91</t>
  </si>
  <si>
    <t>Alois Řezník</t>
  </si>
  <si>
    <t>11.799</t>
  </si>
  <si>
    <t>Marie Řezníková</t>
  </si>
  <si>
    <t>13.111</t>
  </si>
  <si>
    <t>Síla: 23.587</t>
  </si>
  <si>
    <t>Jaroslav Nepomucký</t>
  </si>
  <si>
    <t>15.501</t>
  </si>
  <si>
    <t>Ondřej Hykl</t>
  </si>
  <si>
    <t>8.086</t>
  </si>
  <si>
    <t>Síla: 23.313</t>
  </si>
  <si>
    <t>Miroslav Kremlík</t>
  </si>
  <si>
    <t>17.282</t>
  </si>
  <si>
    <t>Luboš Hykl</t>
  </si>
  <si>
    <t>6.031</t>
  </si>
  <si>
    <t>Síla: 22.908</t>
  </si>
  <si>
    <t>Jiří Zderadička</t>
  </si>
  <si>
    <t>3.626</t>
  </si>
  <si>
    <t>Karel Novotný</t>
  </si>
  <si>
    <t>19.282</t>
  </si>
  <si>
    <t>Síla: 21.282</t>
  </si>
  <si>
    <t>Jan Paták</t>
  </si>
  <si>
    <t>12.594</t>
  </si>
  <si>
    <t>Stanislav Fatka Ml.</t>
  </si>
  <si>
    <t>8.688</t>
  </si>
  <si>
    <t>Síla: 21.127</t>
  </si>
  <si>
    <t>Václava Reinbergrová</t>
  </si>
  <si>
    <t>16.251</t>
  </si>
  <si>
    <t>Alena Pražáková</t>
  </si>
  <si>
    <t>4.876</t>
  </si>
  <si>
    <t>Síla: 20.502</t>
  </si>
  <si>
    <t>Dorota Hájková "E"</t>
  </si>
  <si>
    <t>11.501</t>
  </si>
  <si>
    <t>Lukáš Jablonský</t>
  </si>
  <si>
    <t>9.001</t>
  </si>
  <si>
    <t>Síla: 18.718</t>
  </si>
  <si>
    <t>Vladimír Glaser</t>
  </si>
  <si>
    <t>10.109</t>
  </si>
  <si>
    <t>Dana Glaserová</t>
  </si>
  <si>
    <t>8.609</t>
  </si>
  <si>
    <t>Síla: 16.704</t>
  </si>
  <si>
    <t>Leander Leiský</t>
  </si>
  <si>
    <t>16.704</t>
  </si>
  <si>
    <t>doplním</t>
  </si>
  <si>
    <t>Síla: 16.518</t>
  </si>
  <si>
    <t>Jindřich Fára</t>
  </si>
  <si>
    <t>7.556</t>
  </si>
  <si>
    <t>Helena Fárová</t>
  </si>
  <si>
    <t>8.962</t>
  </si>
  <si>
    <t>Síla: 16.282</t>
  </si>
  <si>
    <t>Jiří Janoš</t>
  </si>
  <si>
    <t>12.719</t>
  </si>
  <si>
    <t>Petr Hytych</t>
  </si>
  <si>
    <t>3.563</t>
  </si>
  <si>
    <t>Síla: 14.906</t>
  </si>
  <si>
    <t>Petr Šimek</t>
  </si>
  <si>
    <t>6.078</t>
  </si>
  <si>
    <t>Petr Končel</t>
  </si>
  <si>
    <t>8.828</t>
  </si>
  <si>
    <t>Síla: 14.471</t>
  </si>
  <si>
    <t>Antonín Doubrava</t>
  </si>
  <si>
    <t>14.471</t>
  </si>
  <si>
    <t>Jiřinka</t>
  </si>
  <si>
    <t>Síla: 12.345</t>
  </si>
  <si>
    <t>Luboš Moucha</t>
  </si>
  <si>
    <t>12.345</t>
  </si>
  <si>
    <t>Mouchová Květa</t>
  </si>
  <si>
    <t>Síla: 11.222</t>
  </si>
  <si>
    <t>Mária Szitányiová</t>
  </si>
  <si>
    <t>7.205</t>
  </si>
  <si>
    <t>Josefína Kolaříková</t>
  </si>
  <si>
    <t>4.017</t>
  </si>
  <si>
    <t>Síla: 9.869</t>
  </si>
  <si>
    <t>Lucie Leistnerová</t>
  </si>
  <si>
    <t>4.837</t>
  </si>
  <si>
    <t>Magda Krejčírová</t>
  </si>
  <si>
    <t>5.032</t>
  </si>
  <si>
    <t>Síla: 8.948</t>
  </si>
  <si>
    <t>Milan Pavýza</t>
  </si>
  <si>
    <t>7.447</t>
  </si>
  <si>
    <t>Václav Jiřík</t>
  </si>
  <si>
    <t>1.501</t>
  </si>
  <si>
    <t>Síla: 4.75</t>
  </si>
  <si>
    <t>Jiří Fürst</t>
  </si>
  <si>
    <t>4.750</t>
  </si>
  <si>
    <t>Materna Aleš</t>
  </si>
  <si>
    <t>Síla: 2.999</t>
  </si>
  <si>
    <t>Miroslav Přibyl</t>
  </si>
  <si>
    <t>2.015</t>
  </si>
  <si>
    <t>Eva Přibylová</t>
  </si>
  <si>
    <t>0.984</t>
  </si>
  <si>
    <t>Síla: 2.375</t>
  </si>
  <si>
    <t>Milan Prajer</t>
  </si>
  <si>
    <t>0.687</t>
  </si>
  <si>
    <t>Jiřina Krčková</t>
  </si>
  <si>
    <t>SENIOR TÝM PRAHA 1</t>
  </si>
  <si>
    <t>1.688</t>
  </si>
  <si>
    <t>Síla: 0.813</t>
  </si>
  <si>
    <t>Šárka Pospíšilová</t>
  </si>
  <si>
    <t>0.813</t>
  </si>
  <si>
    <t>Ondřej Pfeiffer</t>
  </si>
  <si>
    <t>Síla: 0.281</t>
  </si>
  <si>
    <t>Marie Novotná</t>
  </si>
  <si>
    <t>0.281</t>
  </si>
  <si>
    <t>Renata Hynková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</si>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</sst>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8">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6">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7237" TargetMode="External"/><Relationship Id="rId18" Type="http://schemas.openxmlformats.org/officeDocument/2006/relationships/hyperlink" Target="http://czechpetanque.cz/odhlasit.html?pr=28153" TargetMode="External"/><Relationship Id="rId26" Type="http://schemas.openxmlformats.org/officeDocument/2006/relationships/hyperlink" Target="http://czechpetanque.cz/odhlasit.html?pr=27326" TargetMode="External"/><Relationship Id="rId39" Type="http://schemas.openxmlformats.org/officeDocument/2006/relationships/hyperlink" Target="http://czechpetanque.cz/odhlasit.html?pr=27465" TargetMode="External"/><Relationship Id="rId21" Type="http://schemas.openxmlformats.org/officeDocument/2006/relationships/hyperlink" Target="http://czechpetanque.cz/odhlasit.html?pr=27235" TargetMode="External"/><Relationship Id="rId34" Type="http://schemas.openxmlformats.org/officeDocument/2006/relationships/hyperlink" Target="http://czechpetanque.cz/odhlasit.html?pr=27878" TargetMode="External"/><Relationship Id="rId42" Type="http://schemas.openxmlformats.org/officeDocument/2006/relationships/hyperlink" Target="http://czechpetanque.cz/odhlasit.html?pr=27268" TargetMode="External"/><Relationship Id="rId47" Type="http://schemas.openxmlformats.org/officeDocument/2006/relationships/hyperlink" Target="http://czechpetanque.cz/odhlasit.html?pr=27296" TargetMode="External"/><Relationship Id="rId50" Type="http://schemas.openxmlformats.org/officeDocument/2006/relationships/hyperlink" Target="http://czechpetanque.cz/odhlasit.html?pr=28019" TargetMode="External"/><Relationship Id="rId55" Type="http://schemas.openxmlformats.org/officeDocument/2006/relationships/hyperlink" Target="http://czechpetanque.cz/odhlasit.html?pr=27270" TargetMode="External"/><Relationship Id="rId63" Type="http://schemas.openxmlformats.org/officeDocument/2006/relationships/hyperlink" Target="http://czechpetanque.cz/odhlasit.html?pr=28147" TargetMode="External"/><Relationship Id="rId7" Type="http://schemas.openxmlformats.org/officeDocument/2006/relationships/hyperlink" Target="http://czechpetanque.cz/odhlasit.html?pr=27248" TargetMode="External"/><Relationship Id="rId2" Type="http://schemas.openxmlformats.org/officeDocument/2006/relationships/hyperlink" Target="http://czechpetanque.cz/odhlasit.html?pr=27242" TargetMode="External"/><Relationship Id="rId16" Type="http://schemas.openxmlformats.org/officeDocument/2006/relationships/hyperlink" Target="http://czechpetanque.cz/odhlasit.html?pr=27319" TargetMode="External"/><Relationship Id="rId20" Type="http://schemas.openxmlformats.org/officeDocument/2006/relationships/hyperlink" Target="http://czechpetanque.cz/odhlasit.html?pr=27982" TargetMode="External"/><Relationship Id="rId29" Type="http://schemas.openxmlformats.org/officeDocument/2006/relationships/hyperlink" Target="http://czechpetanque.cz/odhlasit.html?pr=27321" TargetMode="External"/><Relationship Id="rId41" Type="http://schemas.openxmlformats.org/officeDocument/2006/relationships/hyperlink" Target="http://czechpetanque.cz/odhlasit.html?pr=27427" TargetMode="External"/><Relationship Id="rId54" Type="http://schemas.openxmlformats.org/officeDocument/2006/relationships/hyperlink" Target="http://czechpetanque.cz/odhlasit.html?pr=28002" TargetMode="External"/><Relationship Id="rId62" Type="http://schemas.openxmlformats.org/officeDocument/2006/relationships/hyperlink" Target="http://czechpetanque.cz/odhlasit.html?pr=27407"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27331" TargetMode="External"/><Relationship Id="rId11" Type="http://schemas.openxmlformats.org/officeDocument/2006/relationships/hyperlink" Target="http://czechpetanque.cz/odhlasit.html?pr=27228" TargetMode="External"/><Relationship Id="rId24" Type="http://schemas.openxmlformats.org/officeDocument/2006/relationships/hyperlink" Target="http://czechpetanque.cz/odhlasit.html?pr=27261" TargetMode="External"/><Relationship Id="rId32" Type="http://schemas.openxmlformats.org/officeDocument/2006/relationships/hyperlink" Target="http://czechpetanque.cz/odhlasit.html?pr=27246" TargetMode="External"/><Relationship Id="rId37" Type="http://schemas.openxmlformats.org/officeDocument/2006/relationships/hyperlink" Target="http://czechpetanque.cz/odhlasit.html?pr=27238" TargetMode="External"/><Relationship Id="rId40" Type="http://schemas.openxmlformats.org/officeDocument/2006/relationships/hyperlink" Target="http://czechpetanque.cz/odhlasit.html?pr=27251" TargetMode="External"/><Relationship Id="rId45" Type="http://schemas.openxmlformats.org/officeDocument/2006/relationships/hyperlink" Target="http://czechpetanque.cz/odhlasit.html?pr=27259" TargetMode="External"/><Relationship Id="rId53" Type="http://schemas.openxmlformats.org/officeDocument/2006/relationships/hyperlink" Target="http://czechpetanque.cz/odhlasit.html?pr=27429" TargetMode="External"/><Relationship Id="rId58" Type="http://schemas.openxmlformats.org/officeDocument/2006/relationships/hyperlink" Target="http://czechpetanque.cz/odhlasit.html?pr=27760" TargetMode="External"/><Relationship Id="rId5" Type="http://schemas.openxmlformats.org/officeDocument/2006/relationships/hyperlink" Target="http://czechpetanque.cz/odhlasit.html?pr=27231" TargetMode="External"/><Relationship Id="rId15" Type="http://schemas.openxmlformats.org/officeDocument/2006/relationships/hyperlink" Target="http://czechpetanque.cz/odhlasit.html?pr=27271" TargetMode="External"/><Relationship Id="rId23" Type="http://schemas.openxmlformats.org/officeDocument/2006/relationships/hyperlink" Target="http://czechpetanque.cz/odhlasit.html?pr=27230" TargetMode="External"/><Relationship Id="rId28" Type="http://schemas.openxmlformats.org/officeDocument/2006/relationships/hyperlink" Target="http://czechpetanque.cz/odhlasit.html?pr=27250" TargetMode="External"/><Relationship Id="rId36" Type="http://schemas.openxmlformats.org/officeDocument/2006/relationships/hyperlink" Target="http://czechpetanque.cz/odhlasit.html?pr=27283" TargetMode="External"/><Relationship Id="rId49" Type="http://schemas.openxmlformats.org/officeDocument/2006/relationships/hyperlink" Target="http://czechpetanque.cz/odhlasit.html?pr=28058" TargetMode="External"/><Relationship Id="rId57" Type="http://schemas.openxmlformats.org/officeDocument/2006/relationships/hyperlink" Target="http://czechpetanque.cz/odhlasit.html?pr=27265" TargetMode="External"/><Relationship Id="rId61" Type="http://schemas.openxmlformats.org/officeDocument/2006/relationships/hyperlink" Target="http://czechpetanque.cz/odhlasit.html?pr=27249" TargetMode="External"/><Relationship Id="rId10" Type="http://schemas.openxmlformats.org/officeDocument/2006/relationships/hyperlink" Target="http://czechpetanque.cz/odhlasit.html?pr=27225" TargetMode="External"/><Relationship Id="rId19" Type="http://schemas.openxmlformats.org/officeDocument/2006/relationships/hyperlink" Target="http://czechpetanque.cz/odhlasit.html?pr=27252" TargetMode="External"/><Relationship Id="rId31" Type="http://schemas.openxmlformats.org/officeDocument/2006/relationships/hyperlink" Target="http://czechpetanque.cz/odhlasit.html?pr=27258" TargetMode="External"/><Relationship Id="rId44" Type="http://schemas.openxmlformats.org/officeDocument/2006/relationships/hyperlink" Target="http://czechpetanque.cz/odhlasit.html?pr=27233" TargetMode="External"/><Relationship Id="rId52" Type="http://schemas.openxmlformats.org/officeDocument/2006/relationships/hyperlink" Target="http://czechpetanque.cz/odhlasit.html?pr=27262" TargetMode="External"/><Relationship Id="rId60" Type="http://schemas.openxmlformats.org/officeDocument/2006/relationships/hyperlink" Target="http://czechpetanque.cz/odhlasit.html?pr=28001" TargetMode="External"/><Relationship Id="rId65" Type="http://schemas.openxmlformats.org/officeDocument/2006/relationships/printerSettings" Target="../printerSettings/printerSettings4.bin"/><Relationship Id="rId4" Type="http://schemas.openxmlformats.org/officeDocument/2006/relationships/hyperlink" Target="http://czechpetanque.cz/odhlasit.html?pr=27239" TargetMode="External"/><Relationship Id="rId9" Type="http://schemas.openxmlformats.org/officeDocument/2006/relationships/hyperlink" Target="http://czechpetanque.cz/odhlasit.html?pr=27240" TargetMode="External"/><Relationship Id="rId14" Type="http://schemas.openxmlformats.org/officeDocument/2006/relationships/hyperlink" Target="http://czechpetanque.cz/odhlasit.html?pr=27539" TargetMode="External"/><Relationship Id="rId22" Type="http://schemas.openxmlformats.org/officeDocument/2006/relationships/hyperlink" Target="http://czechpetanque.cz/odhlasit.html?pr=27229" TargetMode="External"/><Relationship Id="rId27" Type="http://schemas.openxmlformats.org/officeDocument/2006/relationships/hyperlink" Target="http://czechpetanque.cz/odhlasit.html?pr=27287" TargetMode="External"/><Relationship Id="rId30" Type="http://schemas.openxmlformats.org/officeDocument/2006/relationships/hyperlink" Target="http://czechpetanque.cz/odhlasit.html?pr=27245" TargetMode="External"/><Relationship Id="rId35" Type="http://schemas.openxmlformats.org/officeDocument/2006/relationships/hyperlink" Target="http://czechpetanque.cz/odhlasit.html?pr=27241" TargetMode="External"/><Relationship Id="rId43" Type="http://schemas.openxmlformats.org/officeDocument/2006/relationships/hyperlink" Target="http://czechpetanque.cz/odhlasit.html?pr=27264" TargetMode="External"/><Relationship Id="rId48" Type="http://schemas.openxmlformats.org/officeDocument/2006/relationships/hyperlink" Target="http://czechpetanque.cz/odhlasit.html?pr=27269" TargetMode="External"/><Relationship Id="rId56" Type="http://schemas.openxmlformats.org/officeDocument/2006/relationships/hyperlink" Target="http://czechpetanque.cz/odhlasit.html?pr=27267" TargetMode="External"/><Relationship Id="rId64" Type="http://schemas.openxmlformats.org/officeDocument/2006/relationships/hyperlink" Target="http://czechpetanque.cz/odhlasit.html?pr=28157" TargetMode="External"/><Relationship Id="rId8" Type="http://schemas.openxmlformats.org/officeDocument/2006/relationships/hyperlink" Target="http://czechpetanque.cz/odhlasit.html?pr=27304" TargetMode="External"/><Relationship Id="rId51" Type="http://schemas.openxmlformats.org/officeDocument/2006/relationships/hyperlink" Target="http://czechpetanque.cz/odhlasit.html?pr=28250" TargetMode="External"/><Relationship Id="rId3" Type="http://schemas.openxmlformats.org/officeDocument/2006/relationships/hyperlink" Target="http://czechpetanque.cz/odhlasit.html?pr=27244" TargetMode="External"/><Relationship Id="rId12" Type="http://schemas.openxmlformats.org/officeDocument/2006/relationships/hyperlink" Target="http://czechpetanque.cz/odhlasit.html?pr=27247" TargetMode="External"/><Relationship Id="rId17" Type="http://schemas.openxmlformats.org/officeDocument/2006/relationships/hyperlink" Target="http://czechpetanque.cz/odhlasit.html?pr=28249" TargetMode="External"/><Relationship Id="rId25" Type="http://schemas.openxmlformats.org/officeDocument/2006/relationships/hyperlink" Target="http://czechpetanque.cz/odhlasit.html?pr=27234" TargetMode="External"/><Relationship Id="rId33" Type="http://schemas.openxmlformats.org/officeDocument/2006/relationships/hyperlink" Target="http://czechpetanque.cz/odhlasit.html?pr=27933" TargetMode="External"/><Relationship Id="rId38" Type="http://schemas.openxmlformats.org/officeDocument/2006/relationships/hyperlink" Target="http://czechpetanque.cz/odhlasit.html?pr=27879" TargetMode="External"/><Relationship Id="rId46" Type="http://schemas.openxmlformats.org/officeDocument/2006/relationships/hyperlink" Target="http://czechpetanque.cz/odhlasit.html?pr=27273" TargetMode="External"/><Relationship Id="rId59" Type="http://schemas.openxmlformats.org/officeDocument/2006/relationships/hyperlink" Target="http://czechpetanque.cz/odhlasit.html?pr=27677"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08" t="s">
        <v>53</v>
      </c>
      <c r="C1" s="509"/>
      <c r="D1" s="509"/>
      <c r="E1" s="509"/>
      <c r="F1" s="509"/>
      <c r="G1" s="509"/>
      <c r="H1" s="510"/>
    </row>
    <row r="2" spans="1:8" ht="24">
      <c r="B2" s="511" t="s">
        <v>28</v>
      </c>
      <c r="C2" s="512"/>
      <c r="D2" s="512"/>
      <c r="E2" s="512"/>
      <c r="F2" s="512"/>
      <c r="G2" s="512"/>
      <c r="H2" s="512"/>
    </row>
    <row r="3" spans="1:8" ht="14.25">
      <c r="B3" s="168" t="s">
        <v>448</v>
      </c>
      <c r="C3" s="169"/>
      <c r="D3" s="169"/>
      <c r="E3" s="169"/>
      <c r="F3" s="169"/>
      <c r="G3" s="169"/>
      <c r="H3" s="169"/>
    </row>
    <row r="4" spans="1:8" ht="22.5">
      <c r="B4" s="353" t="s">
        <v>1156</v>
      </c>
      <c r="C4" s="354"/>
      <c r="D4" s="354"/>
      <c r="E4" s="354"/>
      <c r="F4" s="354"/>
      <c r="G4" s="354"/>
      <c r="H4" s="354"/>
    </row>
    <row r="5" spans="1:8" ht="14.25">
      <c r="B5" s="353" t="s">
        <v>20</v>
      </c>
      <c r="C5" s="354"/>
      <c r="D5" s="354"/>
      <c r="E5" s="354"/>
      <c r="F5" s="354"/>
      <c r="G5" s="354"/>
      <c r="H5" s="354"/>
    </row>
    <row r="6" spans="1:8" ht="14.25">
      <c r="B6" s="353" t="s">
        <v>1257</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1157</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J</v>
      </c>
      <c r="B1" s="374">
        <f>IF(TYPE(VLOOKUP(D1,Hřiště!A11:B42,2,0))&gt;3,1,VLOOKUP(D1,Hřiště!A11:B42,2,0))</f>
        <v>10</v>
      </c>
      <c r="C1" s="179" t="s">
        <v>113</v>
      </c>
      <c r="D1" s="180" t="s">
        <v>91</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10</v>
      </c>
      <c r="I2" s="382" t="s">
        <v>117</v>
      </c>
      <c r="J2" s="381">
        <f ca="1">INDIRECT(ADDRESS(5,B1,1,1,"Hřiště"))</f>
        <v>11</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10</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10 SKP Kulová osma - Krejčín Leoš</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63 SK Španielka Řepy - Novotná Marie</v>
      </c>
      <c r="D5" s="503"/>
      <c r="E5" s="21"/>
      <c r="F5" s="267"/>
      <c r="G5" s="375" t="s">
        <v>19</v>
      </c>
      <c r="H5" s="377">
        <f ca="1">$H$2</f>
        <v>10</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11</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27 PK Osika Plzeň - Mráz Václav</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46 CdP Loděnice - Zderadička Jiří</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11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10</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E11" sqref="E11"/>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Ostře sledované koule</v>
      </c>
      <c r="C1" s="119"/>
      <c r="D1" s="60"/>
      <c r="E1" s="120" t="str">
        <f>Start.listina!$K$3</f>
        <v>15.04.2017</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3" t="s">
        <v>45</v>
      </c>
      <c r="F6" s="513"/>
      <c r="G6" s="391"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 xml:space="preserve"> - </v>
      </c>
      <c r="E8" s="161"/>
      <c r="F8" s="161"/>
      <c r="G8" s="378">
        <f ca="1">INDIRECT(ADDRESS(4,A7,1,1,"Hřiště"))</f>
        <v>1</v>
      </c>
      <c r="H8" s="16"/>
      <c r="I8">
        <v>1</v>
      </c>
      <c r="J8">
        <f>ROW()</f>
        <v>8</v>
      </c>
      <c r="K8" s="80">
        <f t="shared" ref="K8:K54" ca="1" si="0">IF(TRIM(D8)="-",1,IF(AND(E8="",F8=""),0,IF(N(E8)&gt;N(F8),1,2)))</f>
        <v>1</v>
      </c>
    </row>
    <row r="9" spans="1:11" ht="19.5">
      <c r="A9" s="55" t="s">
        <v>115</v>
      </c>
      <c r="B9" s="43" t="str">
        <f ca="1">Sk.A!$B$9</f>
        <v>36 SK Sahara Vědomice - Červenková Andrea</v>
      </c>
      <c r="C9" s="44" t="s">
        <v>117</v>
      </c>
      <c r="D9" s="43" t="str">
        <f ca="1">Sk.A!$E$9</f>
        <v>37 PEK Stolín - Mallat Oldřich</v>
      </c>
      <c r="E9" s="162">
        <v>4</v>
      </c>
      <c r="F9" s="162">
        <v>13</v>
      </c>
      <c r="G9" s="366">
        <f ca="1">INDIRECT(ADDRESS(5,A7,1,1,"Hřiště"))</f>
        <v>1</v>
      </c>
      <c r="H9" s="16"/>
      <c r="K9" s="80">
        <f t="shared" ca="1" si="0"/>
        <v>2</v>
      </c>
    </row>
    <row r="10" spans="1:11" ht="19.5">
      <c r="A10" s="55" t="s">
        <v>46</v>
      </c>
      <c r="B10" s="43" t="str">
        <f ca="1">Sk.A!$B$10</f>
        <v>1 PC Sokol Lipník - Vavrovič Petr ml.</v>
      </c>
      <c r="C10" s="44" t="s">
        <v>117</v>
      </c>
      <c r="D10" s="43" t="str">
        <f ca="1">Sk.A!$E$10</f>
        <v>37 PEK Stolín - Mallat Oldřich</v>
      </c>
      <c r="E10" s="162">
        <v>13</v>
      </c>
      <c r="F10" s="162">
        <v>5</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36 SK Sahara Vědomice - Červenková Andrea</v>
      </c>
      <c r="E11" s="162">
        <v>6</v>
      </c>
      <c r="F11" s="162">
        <v>13</v>
      </c>
      <c r="G11" s="366">
        <f ca="1">INDIRECT(ADDRESS(5,A7,1,1,"Hřiště"))</f>
        <v>1</v>
      </c>
      <c r="H11" s="16"/>
      <c r="K11" s="80">
        <f t="shared" ca="1" si="0"/>
        <v>2</v>
      </c>
    </row>
    <row r="12" spans="1:11" ht="20.25" thickBot="1">
      <c r="A12" s="56" t="s">
        <v>48</v>
      </c>
      <c r="B12" s="45" t="str">
        <f ca="1">Sk.A!$B$12</f>
        <v>37 PEK Stolín - Mallat Oldřich</v>
      </c>
      <c r="C12" s="44" t="s">
        <v>117</v>
      </c>
      <c r="D12" s="45" t="str">
        <f ca="1">Sk.A!$E$12</f>
        <v>36 SK Sahara Vědomice - Červenková Andrea</v>
      </c>
      <c r="E12" s="163">
        <v>13</v>
      </c>
      <c r="F12" s="163">
        <v>9</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SK Sahara Vědomice - Demčík Milan St.</v>
      </c>
      <c r="C14" s="42" t="s">
        <v>117</v>
      </c>
      <c r="D14" s="41" t="str">
        <f ca="1">Sk.B!$E$8</f>
        <v xml:space="preserve"> - </v>
      </c>
      <c r="E14" s="161"/>
      <c r="F14" s="161"/>
      <c r="G14" s="378">
        <f ca="1">INDIRECT(ADDRESS(4,A13,1,1,"Hřiště"))</f>
        <v>2</v>
      </c>
      <c r="H14" s="16"/>
      <c r="I14">
        <v>2</v>
      </c>
      <c r="J14">
        <f>ROW()</f>
        <v>14</v>
      </c>
      <c r="K14" s="80">
        <f t="shared" ca="1" si="0"/>
        <v>1</v>
      </c>
    </row>
    <row r="15" spans="1:11" ht="19.5">
      <c r="A15" s="55" t="s">
        <v>115</v>
      </c>
      <c r="B15" s="43" t="str">
        <f ca="1">Sk.B!$B$9</f>
        <v>35 SKP Kulová osma - Slapnička Václav</v>
      </c>
      <c r="C15" s="44" t="s">
        <v>117</v>
      </c>
      <c r="D15" s="43" t="str">
        <f ca="1">Sk.B!$E$9</f>
        <v>38 Sokol Kostomlaty - Hercoková Milena</v>
      </c>
      <c r="E15" s="162">
        <v>13</v>
      </c>
      <c r="F15" s="162">
        <v>1</v>
      </c>
      <c r="G15" s="366">
        <f ca="1">INDIRECT(ADDRESS(5,A13,1,1,"Hřiště"))</f>
        <v>2</v>
      </c>
      <c r="H15" s="16"/>
      <c r="K15" s="80">
        <f t="shared" ca="1" si="0"/>
        <v>1</v>
      </c>
    </row>
    <row r="16" spans="1:11" ht="19.5">
      <c r="A16" s="55" t="s">
        <v>46</v>
      </c>
      <c r="B16" s="43" t="str">
        <f ca="1">Sk.B!$B$10</f>
        <v>2 SK Sahara Vědomice - Demčík Milan St.</v>
      </c>
      <c r="C16" s="44" t="s">
        <v>117</v>
      </c>
      <c r="D16" s="43" t="str">
        <f ca="1">Sk.B!$E$10</f>
        <v>35 SKP Kulová osma - Slapnička Václav</v>
      </c>
      <c r="E16" s="162">
        <v>9</v>
      </c>
      <c r="F16" s="162">
        <v>7</v>
      </c>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38 Sokol Kostomlaty - Hercoková Milena</v>
      </c>
      <c r="E17" s="162">
        <v>6</v>
      </c>
      <c r="F17" s="162">
        <v>13</v>
      </c>
      <c r="G17" s="366">
        <f ca="1">INDIRECT(ADDRESS(5,A13,1,1,"Hřiště"))</f>
        <v>2</v>
      </c>
      <c r="H17" s="16"/>
      <c r="K17" s="80">
        <f t="shared" ca="1" si="0"/>
        <v>2</v>
      </c>
    </row>
    <row r="18" spans="1:11" ht="20.25" thickBot="1">
      <c r="A18" s="56" t="s">
        <v>48</v>
      </c>
      <c r="B18" s="45" t="str">
        <f ca="1">Sk.B!$B$12</f>
        <v>35 SKP Kulová osma - Slapnička Václav</v>
      </c>
      <c r="C18" s="44" t="s">
        <v>117</v>
      </c>
      <c r="D18" s="45" t="str">
        <f ca="1">Sk.B!$E$12</f>
        <v>38 Sokol Kostomlaty - Hercoková Milena</v>
      </c>
      <c r="E18" s="163">
        <v>13</v>
      </c>
      <c r="F18" s="163">
        <v>12</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PC Sokol Lipník - Fafek Petr</v>
      </c>
      <c r="C20" s="42" t="s">
        <v>117</v>
      </c>
      <c r="D20" s="41" t="str">
        <f ca="1">Sk.C!$E$8</f>
        <v xml:space="preserve"> - </v>
      </c>
      <c r="E20" s="161"/>
      <c r="F20" s="161"/>
      <c r="G20" s="378">
        <f ca="1">INDIRECT(ADDRESS(4,A19,1,1,"Hřiště"))</f>
        <v>3</v>
      </c>
      <c r="H20" s="16"/>
      <c r="I20">
        <v>3</v>
      </c>
      <c r="J20">
        <f>ROW()</f>
        <v>20</v>
      </c>
      <c r="K20" s="80">
        <f t="shared" ca="1" si="0"/>
        <v>1</v>
      </c>
    </row>
    <row r="21" spans="1:11" ht="19.5">
      <c r="A21" s="55" t="s">
        <v>115</v>
      </c>
      <c r="B21" s="43" t="str">
        <f ca="1">Sk.C!$B$9</f>
        <v>34 PK Osika Plzeň - Špitálský Milan</v>
      </c>
      <c r="C21" s="44" t="s">
        <v>117</v>
      </c>
      <c r="D21" s="43" t="str">
        <f ca="1">Sk.C!$E$9</f>
        <v>39 SK Sahara Vědomice - Hocková Kateřina</v>
      </c>
      <c r="E21" s="162">
        <v>13</v>
      </c>
      <c r="F21" s="162">
        <v>1</v>
      </c>
      <c r="G21" s="366">
        <f ca="1">INDIRECT(ADDRESS(5,A19,1,1,"Hřiště"))</f>
        <v>3</v>
      </c>
      <c r="H21" s="16"/>
      <c r="K21" s="80">
        <f t="shared" ca="1" si="0"/>
        <v>1</v>
      </c>
    </row>
    <row r="22" spans="1:11" ht="19.5">
      <c r="A22" s="55" t="s">
        <v>46</v>
      </c>
      <c r="B22" s="43" t="str">
        <f ca="1">Sk.C!$B$10</f>
        <v>3 PC Sokol Lipník - Fafek Petr</v>
      </c>
      <c r="C22" s="44" t="s">
        <v>117</v>
      </c>
      <c r="D22" s="43" t="str">
        <f ca="1">Sk.C!$E$10</f>
        <v>34 PK Osika Plzeň - Špitálský Milan</v>
      </c>
      <c r="E22" s="162">
        <v>9</v>
      </c>
      <c r="F22" s="162">
        <v>10</v>
      </c>
      <c r="G22" s="366">
        <f ca="1">INDIRECT(ADDRESS(4,A19,1,1,"Hřiště"))</f>
        <v>3</v>
      </c>
      <c r="H22" s="16"/>
      <c r="K22" s="80">
        <f t="shared" ca="1" si="0"/>
        <v>2</v>
      </c>
    </row>
    <row r="23" spans="1:11" ht="19.5">
      <c r="A23" s="55" t="s">
        <v>47</v>
      </c>
      <c r="B23" s="43" t="str">
        <f ca="1">Sk.C!$B$11</f>
        <v xml:space="preserve"> - </v>
      </c>
      <c r="C23" s="44" t="s">
        <v>117</v>
      </c>
      <c r="D23" s="43" t="str">
        <f ca="1">Sk.C!$E$11</f>
        <v>39 SK Sahara Vědomice - Hocková Kateřina</v>
      </c>
      <c r="E23" s="162">
        <v>6</v>
      </c>
      <c r="F23" s="162">
        <v>13</v>
      </c>
      <c r="G23" s="366">
        <f ca="1">INDIRECT(ADDRESS(5,A19,1,1,"Hřiště"))</f>
        <v>3</v>
      </c>
      <c r="H23" s="16"/>
      <c r="K23" s="80">
        <f t="shared" ca="1" si="0"/>
        <v>2</v>
      </c>
    </row>
    <row r="24" spans="1:11" ht="20.25" thickBot="1">
      <c r="A24" s="56" t="s">
        <v>48</v>
      </c>
      <c r="B24" s="45" t="str">
        <f ca="1">Sk.C!$B$12</f>
        <v>3 PC Sokol Lipník - Fafek Petr</v>
      </c>
      <c r="C24" s="44" t="s">
        <v>117</v>
      </c>
      <c r="D24" s="45" t="str">
        <f ca="1">Sk.C!$E$12</f>
        <v>39 SK Sahara Vědomice - Hocková Kateřina</v>
      </c>
      <c r="E24" s="163">
        <v>13</v>
      </c>
      <c r="F24" s="163">
        <v>4</v>
      </c>
      <c r="G24" s="367">
        <f ca="1">INDIRECT(ADDRESS(4,A19,1,1,"Hřiště"))</f>
        <v>3</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PC Kolová - Kauca Jindřich</v>
      </c>
      <c r="C26" s="42" t="s">
        <v>117</v>
      </c>
      <c r="D26" s="41" t="str">
        <f ca="1">Sk.D!$E$8</f>
        <v xml:space="preserve"> - </v>
      </c>
      <c r="E26" s="161"/>
      <c r="F26" s="161"/>
      <c r="G26" s="378">
        <f ca="1">INDIRECT(ADDRESS(4,A25,1,1,"Hřiště"))</f>
        <v>4</v>
      </c>
      <c r="H26" s="16"/>
      <c r="I26">
        <v>4</v>
      </c>
      <c r="J26">
        <f>ROW()</f>
        <v>26</v>
      </c>
      <c r="K26" s="80">
        <f t="shared" ca="1" si="0"/>
        <v>1</v>
      </c>
    </row>
    <row r="27" spans="1:11" ht="19.5">
      <c r="A27" s="55" t="s">
        <v>115</v>
      </c>
      <c r="B27" s="43" t="str">
        <f ca="1">Sk.D!$B$9</f>
        <v>33 PEK Stolín - Hájková Iveta</v>
      </c>
      <c r="C27" s="44" t="s">
        <v>117</v>
      </c>
      <c r="D27" s="43" t="str">
        <f ca="1">Sk.D!$E$9</f>
        <v>40 Club Rodamiento - Pinkasová Marie</v>
      </c>
      <c r="E27" s="162">
        <v>10</v>
      </c>
      <c r="F27" s="162">
        <v>7</v>
      </c>
      <c r="G27" s="366">
        <f ca="1">INDIRECT(ADDRESS(5,A25,1,1,"Hřiště"))</f>
        <v>4</v>
      </c>
      <c r="H27" s="16"/>
      <c r="K27" s="80">
        <f t="shared" ca="1" si="0"/>
        <v>1</v>
      </c>
    </row>
    <row r="28" spans="1:11" ht="19.5">
      <c r="A28" s="55" t="s">
        <v>46</v>
      </c>
      <c r="B28" s="43" t="str">
        <f ca="1">Sk.D!$B$10</f>
        <v>4 PC Kolová - Kauca Jindřich</v>
      </c>
      <c r="C28" s="44" t="s">
        <v>117</v>
      </c>
      <c r="D28" s="43" t="str">
        <f ca="1">Sk.D!$E$10</f>
        <v>33 PEK Stolín - Hájková Iveta</v>
      </c>
      <c r="E28" s="162">
        <v>13</v>
      </c>
      <c r="F28" s="162">
        <v>5</v>
      </c>
      <c r="G28" s="366">
        <f ca="1">INDIRECT(ADDRESS(4,A25,1,1,"Hřiště"))</f>
        <v>4</v>
      </c>
      <c r="H28" s="16"/>
      <c r="K28" s="80">
        <f t="shared" ca="1" si="0"/>
        <v>1</v>
      </c>
    </row>
    <row r="29" spans="1:11" ht="19.5">
      <c r="A29" s="55" t="s">
        <v>47</v>
      </c>
      <c r="B29" s="43" t="str">
        <f ca="1">Sk.D!$B$11</f>
        <v xml:space="preserve"> - </v>
      </c>
      <c r="C29" s="44" t="s">
        <v>117</v>
      </c>
      <c r="D29" s="43" t="str">
        <f ca="1">Sk.D!$E$11</f>
        <v>40 Club Rodamiento - Pinkasová Marie</v>
      </c>
      <c r="E29" s="162">
        <v>6</v>
      </c>
      <c r="F29" s="162">
        <v>13</v>
      </c>
      <c r="G29" s="366">
        <f ca="1">INDIRECT(ADDRESS(5,A25,1,1,"Hřiště"))</f>
        <v>4</v>
      </c>
      <c r="H29" s="16"/>
      <c r="K29" s="80">
        <f t="shared" ca="1" si="0"/>
        <v>2</v>
      </c>
    </row>
    <row r="30" spans="1:11" ht="20.25" thickBot="1">
      <c r="A30" s="56" t="s">
        <v>48</v>
      </c>
      <c r="B30" s="45" t="str">
        <f ca="1">Sk.D!$B$12</f>
        <v>33 PEK Stolín - Hájková Iveta</v>
      </c>
      <c r="C30" s="44" t="s">
        <v>117</v>
      </c>
      <c r="D30" s="45" t="str">
        <f ca="1">Sk.D!$E$12</f>
        <v>40 Club Rodamiento - Pinkasová Marie</v>
      </c>
      <c r="E30" s="163">
        <v>13</v>
      </c>
      <c r="F30" s="163">
        <v>6</v>
      </c>
      <c r="G30" s="367">
        <f ca="1">INDIRECT(ADDRESS(4,A25,1,1,"Hřiště"))</f>
        <v>4</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CdP Loděnice - Marhoul Jan</v>
      </c>
      <c r="C32" s="42" t="s">
        <v>117</v>
      </c>
      <c r="D32" s="41" t="str">
        <f ca="1">Sk.E!$E$8</f>
        <v xml:space="preserve"> - </v>
      </c>
      <c r="E32" s="161"/>
      <c r="F32" s="161"/>
      <c r="G32" s="378">
        <f ca="1">INDIRECT(ADDRESS(4,A31,1,1,"Hřiště"))</f>
        <v>5</v>
      </c>
      <c r="H32" s="16"/>
      <c r="I32">
        <v>5</v>
      </c>
      <c r="J32">
        <f>ROW()</f>
        <v>32</v>
      </c>
      <c r="K32" s="80">
        <f t="shared" ca="1" si="0"/>
        <v>1</v>
      </c>
    </row>
    <row r="33" spans="1:11" ht="19.5">
      <c r="A33" s="55" t="s">
        <v>115</v>
      </c>
      <c r="B33" s="43" t="str">
        <f ca="1">Sk.E!$B$9</f>
        <v>32 PK Osika Plzeň - Radoušová Jana</v>
      </c>
      <c r="C33" s="44" t="s">
        <v>117</v>
      </c>
      <c r="D33" s="43" t="str">
        <f ca="1">Sk.E!$E$9</f>
        <v>41 C.T.P. Club Ořech - Leiský Leander</v>
      </c>
      <c r="E33" s="162">
        <v>13</v>
      </c>
      <c r="F33" s="162">
        <v>4</v>
      </c>
      <c r="G33" s="366">
        <f ca="1">INDIRECT(ADDRESS(5,A31,1,1,"Hřiště"))</f>
        <v>5</v>
      </c>
      <c r="H33" s="16"/>
      <c r="K33" s="80">
        <f t="shared" ca="1" si="0"/>
        <v>1</v>
      </c>
    </row>
    <row r="34" spans="1:11" ht="19.5">
      <c r="A34" s="55" t="s">
        <v>46</v>
      </c>
      <c r="B34" s="43" t="str">
        <f ca="1">Sk.E!$B$10</f>
        <v>5 CdP Loděnice - Marhoul Jan</v>
      </c>
      <c r="C34" s="44" t="s">
        <v>117</v>
      </c>
      <c r="D34" s="43" t="str">
        <f ca="1">Sk.E!$E$10</f>
        <v>32 PK Osika Plzeň - Radoušová Jana</v>
      </c>
      <c r="E34" s="162">
        <v>4</v>
      </c>
      <c r="F34" s="162">
        <v>13</v>
      </c>
      <c r="G34" s="366">
        <f ca="1">INDIRECT(ADDRESS(4,A31,1,1,"Hřiště"))</f>
        <v>5</v>
      </c>
      <c r="H34" s="16"/>
      <c r="K34" s="80">
        <f t="shared" ca="1" si="0"/>
        <v>2</v>
      </c>
    </row>
    <row r="35" spans="1:11" ht="19.5">
      <c r="A35" s="55" t="s">
        <v>47</v>
      </c>
      <c r="B35" s="43" t="str">
        <f ca="1">Sk.E!$B$11</f>
        <v xml:space="preserve"> - </v>
      </c>
      <c r="C35" s="44" t="s">
        <v>117</v>
      </c>
      <c r="D35" s="43" t="str">
        <f ca="1">Sk.E!$E$11</f>
        <v>41 C.T.P. Club Ořech - Leiský Leander</v>
      </c>
      <c r="E35" s="162">
        <v>6</v>
      </c>
      <c r="F35" s="162">
        <v>13</v>
      </c>
      <c r="G35" s="366">
        <f ca="1">INDIRECT(ADDRESS(5,A31,1,1,"Hřiště"))</f>
        <v>5</v>
      </c>
      <c r="H35" s="16"/>
      <c r="K35" s="80">
        <f t="shared" ca="1" si="0"/>
        <v>2</v>
      </c>
    </row>
    <row r="36" spans="1:11" ht="20.25" thickBot="1">
      <c r="A36" s="56" t="s">
        <v>48</v>
      </c>
      <c r="B36" s="45" t="str">
        <f ca="1">Sk.E!$B$12</f>
        <v>5 CdP Loděnice - Marhoul Jan</v>
      </c>
      <c r="C36" s="44" t="s">
        <v>117</v>
      </c>
      <c r="D36" s="45" t="str">
        <f ca="1">Sk.E!$E$12</f>
        <v>41 C.T.P. Club Ořech - Leiský Leander</v>
      </c>
      <c r="E36" s="163">
        <v>13</v>
      </c>
      <c r="F36" s="163">
        <v>1</v>
      </c>
      <c r="G36" s="367">
        <f ca="1">INDIRECT(ADDRESS(4,A31,1,1,"Hřiště"))</f>
        <v>5</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PC Sokol Lipník - Froňková Blanka</v>
      </c>
      <c r="C38" s="42" t="s">
        <v>117</v>
      </c>
      <c r="D38" s="41" t="str">
        <f ca="1">Sk.F!$E$8</f>
        <v xml:space="preserve"> - </v>
      </c>
      <c r="E38" s="161"/>
      <c r="F38" s="161"/>
      <c r="G38" s="378">
        <f ca="1">INDIRECT(ADDRESS(4,A37,1,1,"Hřiště"))</f>
        <v>6</v>
      </c>
      <c r="H38" s="16"/>
      <c r="I38">
        <v>6</v>
      </c>
      <c r="J38">
        <f>ROW()</f>
        <v>38</v>
      </c>
      <c r="K38" s="80">
        <f t="shared" ca="1" si="0"/>
        <v>1</v>
      </c>
    </row>
    <row r="39" spans="1:11" ht="19.5">
      <c r="A39" s="55" t="s">
        <v>115</v>
      </c>
      <c r="B39" s="43" t="str">
        <f ca="1">Sk.F!$B$9</f>
        <v>31 SKP Kulová osma - Lhoták Jaroslav</v>
      </c>
      <c r="C39" s="44" t="s">
        <v>117</v>
      </c>
      <c r="D39" s="43" t="str">
        <f ca="1">Sk.F!$E$9</f>
        <v>42 SK Španielka Řepy - Pastorek Jaroslav</v>
      </c>
      <c r="E39" s="162">
        <v>13</v>
      </c>
      <c r="F39" s="162">
        <v>5</v>
      </c>
      <c r="G39" s="366">
        <f ca="1">INDIRECT(ADDRESS(5,A37,1,1,"Hřiště"))</f>
        <v>6</v>
      </c>
      <c r="H39" s="16"/>
      <c r="K39" s="80">
        <f t="shared" ca="1" si="0"/>
        <v>1</v>
      </c>
    </row>
    <row r="40" spans="1:11" ht="19.5">
      <c r="A40" s="55" t="s">
        <v>46</v>
      </c>
      <c r="B40" s="43" t="str">
        <f ca="1">Sk.F!$B$10</f>
        <v>6 PC Sokol Lipník - Froňková Blanka</v>
      </c>
      <c r="C40" s="44" t="s">
        <v>117</v>
      </c>
      <c r="D40" s="43" t="str">
        <f ca="1">Sk.F!$E$10</f>
        <v>31 SKP Kulová osma - Lhoták Jaroslav</v>
      </c>
      <c r="E40" s="162">
        <v>13</v>
      </c>
      <c r="F40" s="162">
        <v>6</v>
      </c>
      <c r="G40" s="366">
        <f ca="1">INDIRECT(ADDRESS(4,A37,1,1,"Hřiště"))</f>
        <v>6</v>
      </c>
      <c r="H40" s="16"/>
      <c r="K40" s="80">
        <f t="shared" ca="1" si="0"/>
        <v>1</v>
      </c>
    </row>
    <row r="41" spans="1:11" ht="19.5">
      <c r="A41" s="55" t="s">
        <v>47</v>
      </c>
      <c r="B41" s="43" t="str">
        <f ca="1">Sk.F!$B$11</f>
        <v xml:space="preserve"> - </v>
      </c>
      <c r="C41" s="44" t="s">
        <v>117</v>
      </c>
      <c r="D41" s="43" t="str">
        <f ca="1">Sk.F!$E$11</f>
        <v>42 SK Španielka Řepy - Pastorek Jaroslav</v>
      </c>
      <c r="E41" s="162">
        <v>6</v>
      </c>
      <c r="F41" s="162">
        <v>13</v>
      </c>
      <c r="G41" s="366">
        <f ca="1">INDIRECT(ADDRESS(5,A37,1,1,"Hřiště"))</f>
        <v>6</v>
      </c>
      <c r="H41" s="16"/>
      <c r="K41" s="80">
        <f t="shared" ca="1" si="0"/>
        <v>2</v>
      </c>
    </row>
    <row r="42" spans="1:11" ht="20.25" thickBot="1">
      <c r="A42" s="56" t="s">
        <v>48</v>
      </c>
      <c r="B42" s="45" t="str">
        <f ca="1">Sk.F!$B$12</f>
        <v>31 SKP Kulová osma - Lhoták Jaroslav</v>
      </c>
      <c r="C42" s="44" t="s">
        <v>117</v>
      </c>
      <c r="D42" s="45" t="str">
        <f ca="1">Sk.F!$E$12</f>
        <v>42 SK Španielka Řepy - Pastorek Jaroslav</v>
      </c>
      <c r="E42" s="163">
        <v>6</v>
      </c>
      <c r="F42" s="163">
        <v>13</v>
      </c>
      <c r="G42" s="367">
        <f ca="1">INDIRECT(ADDRESS(4,A37,1,1,"Hřiště"))</f>
        <v>6</v>
      </c>
      <c r="H42" s="16"/>
      <c r="K42" s="80">
        <f t="shared" ca="1" si="0"/>
        <v>2</v>
      </c>
    </row>
    <row r="43" spans="1:11" ht="30" customHeight="1" thickBot="1">
      <c r="A43" s="52">
        <v>7</v>
      </c>
      <c r="B43" s="52"/>
      <c r="C43" s="57" t="s">
        <v>41</v>
      </c>
      <c r="D43" s="52"/>
      <c r="E43" s="249"/>
      <c r="F43" s="249"/>
      <c r="G43" s="53"/>
      <c r="H43" s="17"/>
    </row>
    <row r="44" spans="1:11" ht="19.5">
      <c r="A44" s="54" t="s">
        <v>114</v>
      </c>
      <c r="B44" s="41" t="str">
        <f ca="1">Sk.G!$B$8</f>
        <v>7 CdP Loděnice - Mrázek Petr</v>
      </c>
      <c r="C44" s="42" t="s">
        <v>117</v>
      </c>
      <c r="D44" s="41" t="str">
        <f ca="1">Sk.G!$E$8</f>
        <v xml:space="preserve"> - </v>
      </c>
      <c r="E44" s="161"/>
      <c r="F44" s="161"/>
      <c r="G44" s="378">
        <f ca="1">INDIRECT(ADDRESS(4,A43,1,1,"Hřiště"))</f>
        <v>7</v>
      </c>
      <c r="H44" s="16"/>
      <c r="I44">
        <v>7</v>
      </c>
      <c r="J44">
        <f>ROW()</f>
        <v>44</v>
      </c>
      <c r="K44" s="80">
        <f t="shared" ca="1" si="0"/>
        <v>1</v>
      </c>
    </row>
    <row r="45" spans="1:11" ht="19.5">
      <c r="A45" s="55" t="s">
        <v>115</v>
      </c>
      <c r="B45" s="43" t="str">
        <f ca="1">Sk.G!$B$9</f>
        <v>30 SK Španielka Řepy - Holoubek Pavel</v>
      </c>
      <c r="C45" s="44" t="s">
        <v>117</v>
      </c>
      <c r="D45" s="43" t="str">
        <f ca="1">Sk.G!$E$9</f>
        <v>43 SK Španielka Řepy - Řezník Alois</v>
      </c>
      <c r="E45" s="162">
        <v>11</v>
      </c>
      <c r="F45" s="162">
        <v>12</v>
      </c>
      <c r="G45" s="366">
        <f ca="1">INDIRECT(ADDRESS(5,A43,1,1,"Hřiště"))</f>
        <v>7</v>
      </c>
      <c r="H45" s="16"/>
      <c r="K45" s="80">
        <f t="shared" ca="1" si="0"/>
        <v>2</v>
      </c>
    </row>
    <row r="46" spans="1:11" ht="19.5">
      <c r="A46" s="55" t="s">
        <v>46</v>
      </c>
      <c r="B46" s="43" t="str">
        <f ca="1">Sk.G!$B$10</f>
        <v>7 CdP Loděnice - Mrázek Petr</v>
      </c>
      <c r="C46" s="44" t="s">
        <v>117</v>
      </c>
      <c r="D46" s="43" t="str">
        <f ca="1">Sk.G!$E$10</f>
        <v>43 SK Španielka Řepy - Řezník Alois</v>
      </c>
      <c r="E46" s="162">
        <v>13</v>
      </c>
      <c r="F46" s="162">
        <v>0</v>
      </c>
      <c r="G46" s="366">
        <f ca="1">INDIRECT(ADDRESS(4,A43,1,1,"Hřiště"))</f>
        <v>7</v>
      </c>
      <c r="H46" s="16"/>
      <c r="K46" s="80">
        <f t="shared" ca="1" si="0"/>
        <v>1</v>
      </c>
    </row>
    <row r="47" spans="1:11" ht="19.5">
      <c r="A47" s="55" t="s">
        <v>47</v>
      </c>
      <c r="B47" s="43" t="str">
        <f ca="1">Sk.G!$B$11</f>
        <v xml:space="preserve"> - </v>
      </c>
      <c r="C47" s="44" t="s">
        <v>117</v>
      </c>
      <c r="D47" s="43" t="str">
        <f ca="1">Sk.G!$E$11</f>
        <v>30 SK Španielka Řepy - Holoubek Pavel</v>
      </c>
      <c r="E47" s="162">
        <v>6</v>
      </c>
      <c r="F47" s="162">
        <v>13</v>
      </c>
      <c r="G47" s="366">
        <f ca="1">INDIRECT(ADDRESS(5,A43,1,1,"Hřiště"))</f>
        <v>7</v>
      </c>
      <c r="H47" s="16"/>
      <c r="K47" s="80">
        <f t="shared" ca="1" si="0"/>
        <v>2</v>
      </c>
    </row>
    <row r="48" spans="1:11" ht="20.25" thickBot="1">
      <c r="A48" s="56" t="s">
        <v>48</v>
      </c>
      <c r="B48" s="45" t="str">
        <f ca="1">Sk.G!$B$12</f>
        <v>43 SK Španielka Řepy - Řezník Alois</v>
      </c>
      <c r="C48" s="44" t="s">
        <v>117</v>
      </c>
      <c r="D48" s="45" t="str">
        <f ca="1">Sk.G!$E$12</f>
        <v>30 SK Španielka Řepy - Holoubek Pavel</v>
      </c>
      <c r="E48" s="163">
        <v>13</v>
      </c>
      <c r="F48" s="163">
        <v>11</v>
      </c>
      <c r="G48" s="367">
        <f ca="1">INDIRECT(ADDRESS(4,A43,1,1,"Hřiště"))</f>
        <v>7</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PLUK Jablonec - Lukáš Vojtěch</v>
      </c>
      <c r="C50" s="42" t="s">
        <v>117</v>
      </c>
      <c r="D50" s="41" t="str">
        <f ca="1">Sk.H!$E$8</f>
        <v xml:space="preserve"> - </v>
      </c>
      <c r="E50" s="161"/>
      <c r="F50" s="161"/>
      <c r="G50" s="378">
        <f ca="1">INDIRECT(ADDRESS(4,A49,1,1,"Hřiště"))</f>
        <v>8</v>
      </c>
      <c r="H50" s="16"/>
      <c r="I50">
        <v>8</v>
      </c>
      <c r="J50">
        <f>ROW()</f>
        <v>50</v>
      </c>
      <c r="K50" s="80">
        <f t="shared" ca="1" si="0"/>
        <v>1</v>
      </c>
    </row>
    <row r="51" spans="1:11" ht="19.5">
      <c r="A51" s="55" t="s">
        <v>115</v>
      </c>
      <c r="B51" s="43" t="str">
        <f ca="1">Sk.H!$B$9</f>
        <v>29 SK Sahara Vědomice - Gröschl Zdeněk</v>
      </c>
      <c r="C51" s="44" t="s">
        <v>117</v>
      </c>
      <c r="D51" s="43" t="str">
        <f ca="1">Sk.H!$E$9</f>
        <v>44 Spolek Park Grébovka - Nepomucký Jaroslav</v>
      </c>
      <c r="E51" s="162">
        <v>10</v>
      </c>
      <c r="F51" s="162">
        <v>11</v>
      </c>
      <c r="G51" s="366">
        <f ca="1">INDIRECT(ADDRESS(5,A49,1,1,"Hřiště"))</f>
        <v>8</v>
      </c>
      <c r="H51" s="16"/>
      <c r="K51" s="80">
        <f t="shared" ca="1" si="0"/>
        <v>2</v>
      </c>
    </row>
    <row r="52" spans="1:11" ht="19.5">
      <c r="A52" s="55" t="s">
        <v>46</v>
      </c>
      <c r="B52" s="43" t="str">
        <f ca="1">Sk.H!$B$10</f>
        <v>8 PLUK Jablonec - Lukáš Vojtěch</v>
      </c>
      <c r="C52" s="44" t="s">
        <v>117</v>
      </c>
      <c r="D52" s="43" t="str">
        <f ca="1">Sk.H!$E$10</f>
        <v>44 Spolek Park Grébovka - Nepomucký Jaroslav</v>
      </c>
      <c r="E52" s="162">
        <v>10</v>
      </c>
      <c r="F52" s="162">
        <v>11</v>
      </c>
      <c r="G52" s="366">
        <f ca="1">INDIRECT(ADDRESS(4,A49,1,1,"Hřiště"))</f>
        <v>8</v>
      </c>
      <c r="H52" s="16"/>
      <c r="K52" s="80">
        <f t="shared" ca="1" si="0"/>
        <v>2</v>
      </c>
    </row>
    <row r="53" spans="1:11" ht="19.5">
      <c r="A53" s="55" t="s">
        <v>47</v>
      </c>
      <c r="B53" s="43" t="str">
        <f ca="1">Sk.H!$B$11</f>
        <v xml:space="preserve"> - </v>
      </c>
      <c r="C53" s="44" t="s">
        <v>117</v>
      </c>
      <c r="D53" s="43" t="str">
        <f ca="1">Sk.H!$E$11</f>
        <v>29 SK Sahara Vědomice - Gröschl Zdeněk</v>
      </c>
      <c r="E53" s="162">
        <v>6</v>
      </c>
      <c r="F53" s="162">
        <v>13</v>
      </c>
      <c r="G53" s="366">
        <f ca="1">INDIRECT(ADDRESS(5,A49,1,1,"Hřiště"))</f>
        <v>8</v>
      </c>
      <c r="H53" s="16"/>
      <c r="K53" s="80">
        <f t="shared" ca="1" si="0"/>
        <v>2</v>
      </c>
    </row>
    <row r="54" spans="1:11" ht="20.25" thickBot="1">
      <c r="A54" s="56" t="s">
        <v>48</v>
      </c>
      <c r="B54" s="45" t="str">
        <f ca="1">Sk.H!$B$12</f>
        <v>8 PLUK Jablonec - Lukáš Vojtěch</v>
      </c>
      <c r="C54" s="44" t="s">
        <v>117</v>
      </c>
      <c r="D54" s="45" t="str">
        <f ca="1">Sk.H!$E$12</f>
        <v>29 SK Sahara Vědomice - Gröschl Zdeněk</v>
      </c>
      <c r="E54" s="163">
        <v>13</v>
      </c>
      <c r="F54" s="163">
        <v>6</v>
      </c>
      <c r="G54" s="367">
        <f ca="1">INDIRECT(ADDRESS(4,A49,1,1,"Hřiště"))</f>
        <v>8</v>
      </c>
      <c r="H54" s="16"/>
      <c r="K54" s="80">
        <f t="shared" ca="1" si="0"/>
        <v>1</v>
      </c>
    </row>
    <row r="55" spans="1:11" ht="23.25" thickBot="1">
      <c r="A55" s="52">
        <v>9</v>
      </c>
      <c r="B55" s="52"/>
      <c r="C55" s="57" t="s">
        <v>264</v>
      </c>
      <c r="D55" s="52"/>
      <c r="E55" s="249"/>
      <c r="F55" s="249"/>
      <c r="G55" s="53"/>
      <c r="H55" s="16"/>
    </row>
    <row r="56" spans="1:11" ht="19.5">
      <c r="A56" s="54" t="s">
        <v>114</v>
      </c>
      <c r="B56" s="41" t="str">
        <f ca="1">Sk.I!$B$8</f>
        <v>9 SK Sahara Vědomice - Mikyška Milan</v>
      </c>
      <c r="C56" s="42" t="s">
        <v>117</v>
      </c>
      <c r="D56" s="41" t="str">
        <f ca="1">Sk.I!$E$8</f>
        <v xml:space="preserve"> - </v>
      </c>
      <c r="E56" s="161"/>
      <c r="F56" s="161"/>
      <c r="G56" s="378">
        <f ca="1">INDIRECT(ADDRESS(4,A55,1,1,"Hřiště"))</f>
        <v>9</v>
      </c>
      <c r="H56" s="16"/>
      <c r="I56">
        <v>9</v>
      </c>
      <c r="J56">
        <f>ROW()</f>
        <v>56</v>
      </c>
      <c r="K56" s="80">
        <f ca="1">IF(TRIM(D56)="-",1,IF(AND(E56="",F56=""),0,IF(N(E56)&gt;N(F56),1,2)))</f>
        <v>1</v>
      </c>
    </row>
    <row r="57" spans="1:11" ht="19.5">
      <c r="A57" s="55" t="s">
        <v>115</v>
      </c>
      <c r="B57" s="43" t="str">
        <f ca="1">Sk.I!$B$9</f>
        <v>28 UBU Únětice - Kot Pavel</v>
      </c>
      <c r="C57" s="44" t="s">
        <v>117</v>
      </c>
      <c r="D57" s="43" t="str">
        <f ca="1">Sk.I!$E$9</f>
        <v>45 Spolek Park Grébovka - Kremlík Miroslav</v>
      </c>
      <c r="E57" s="162">
        <v>10</v>
      </c>
      <c r="F57" s="162">
        <v>7</v>
      </c>
      <c r="G57" s="366">
        <f ca="1">INDIRECT(ADDRESS(5,A55,1,1,"Hřiště"))</f>
        <v>9</v>
      </c>
      <c r="H57" s="16"/>
      <c r="K57" s="80">
        <f ca="1">IF(TRIM(D57)="-",1,IF(AND(E57="",F57=""),0,IF(N(E57)&gt;N(F57),1,2)))</f>
        <v>1</v>
      </c>
    </row>
    <row r="58" spans="1:11" ht="19.5">
      <c r="A58" s="55" t="s">
        <v>46</v>
      </c>
      <c r="B58" s="43" t="str">
        <f ca="1">Sk.I!$B$10</f>
        <v>9 SK Sahara Vědomice - Mikyška Milan</v>
      </c>
      <c r="C58" s="44" t="s">
        <v>117</v>
      </c>
      <c r="D58" s="43" t="str">
        <f ca="1">Sk.I!$E$10</f>
        <v>28 UBU Únětice - Kot Pavel</v>
      </c>
      <c r="E58" s="162">
        <v>9</v>
      </c>
      <c r="F58" s="162">
        <v>10</v>
      </c>
      <c r="G58" s="366">
        <f ca="1">INDIRECT(ADDRESS(4,A55,1,1,"Hřiště"))</f>
        <v>9</v>
      </c>
      <c r="H58" s="16"/>
      <c r="K58" s="80">
        <f ca="1">IF(TRIM(D58)="-",1,IF(AND(E58="",F58=""),0,IF(N(E58)&gt;N(F58),1,2)))</f>
        <v>2</v>
      </c>
    </row>
    <row r="59" spans="1:11" ht="19.5">
      <c r="A59" s="55" t="s">
        <v>47</v>
      </c>
      <c r="B59" s="43" t="str">
        <f ca="1">Sk.I!$B$11</f>
        <v xml:space="preserve"> - </v>
      </c>
      <c r="C59" s="44" t="s">
        <v>117</v>
      </c>
      <c r="D59" s="43" t="str">
        <f ca="1">Sk.I!$E$11</f>
        <v>45 Spolek Park Grébovka - Kremlík Miroslav</v>
      </c>
      <c r="E59" s="162">
        <v>6</v>
      </c>
      <c r="F59" s="162">
        <v>13</v>
      </c>
      <c r="G59" s="366">
        <f ca="1">INDIRECT(ADDRESS(5,A55,1,1,"Hřiště"))</f>
        <v>9</v>
      </c>
      <c r="H59" s="16"/>
      <c r="K59" s="80">
        <f ca="1">IF(TRIM(D59)="-",1,IF(AND(E59="",F59=""),0,IF(N(E59)&gt;N(F59),1,2)))</f>
        <v>2</v>
      </c>
    </row>
    <row r="60" spans="1:11" ht="20.25" thickBot="1">
      <c r="A60" s="56" t="s">
        <v>48</v>
      </c>
      <c r="B60" s="45" t="str">
        <f ca="1">Sk.I!$B$12</f>
        <v>9 SK Sahara Vědomice - Mikyška Milan</v>
      </c>
      <c r="C60" s="44" t="s">
        <v>117</v>
      </c>
      <c r="D60" s="45" t="str">
        <f ca="1">Sk.I!$E$12</f>
        <v>45 Spolek Park Grébovka - Kremlík Miroslav</v>
      </c>
      <c r="E60" s="163">
        <v>8</v>
      </c>
      <c r="F60" s="163">
        <v>13</v>
      </c>
      <c r="G60" s="367">
        <f ca="1">INDIRECT(ADDRESS(4,A55,1,1,"Hřiště"))</f>
        <v>9</v>
      </c>
      <c r="K60" s="80">
        <f ca="1">IF(TRIM(D60)="-",1,IF(AND(E60="",F60=""),0,IF(N(E60)&gt;N(F60),1,2)))</f>
        <v>2</v>
      </c>
    </row>
    <row r="61" spans="1:11" ht="23.25" thickBot="1">
      <c r="A61" s="52">
        <v>10</v>
      </c>
      <c r="B61" s="52"/>
      <c r="C61" s="57" t="s">
        <v>265</v>
      </c>
      <c r="D61" s="52"/>
      <c r="E61" s="249"/>
      <c r="F61" s="249"/>
      <c r="G61" s="53"/>
      <c r="H61" s="16"/>
    </row>
    <row r="62" spans="1:11" ht="19.5">
      <c r="A62" s="54" t="s">
        <v>114</v>
      </c>
      <c r="B62" s="41" t="str">
        <f ca="1">Sk.J!$B$8</f>
        <v>10 SKP Kulová osma - Krejčín Leoš</v>
      </c>
      <c r="C62" s="42" t="s">
        <v>117</v>
      </c>
      <c r="D62" s="41" t="str">
        <f ca="1">Sk.J!$E$8</f>
        <v>63 SK Španielka Řepy - Novotná Marie</v>
      </c>
      <c r="E62" s="161">
        <v>13</v>
      </c>
      <c r="F62" s="161">
        <v>4</v>
      </c>
      <c r="G62" s="378">
        <f ca="1">INDIRECT(ADDRESS(4,A61,1,1,"Hřiště"))</f>
        <v>10</v>
      </c>
      <c r="H62" s="16"/>
      <c r="I62">
        <v>10</v>
      </c>
      <c r="J62">
        <f>ROW()</f>
        <v>62</v>
      </c>
      <c r="K62" s="80">
        <f ca="1">IF(TRIM(D62)="-",1,IF(AND(E62="",F62=""),0,IF(N(E62)&gt;N(F62),1,2)))</f>
        <v>1</v>
      </c>
    </row>
    <row r="63" spans="1:11" ht="19.5">
      <c r="A63" s="55" t="s">
        <v>115</v>
      </c>
      <c r="B63" s="43" t="str">
        <f ca="1">Sk.J!$B$9</f>
        <v>27 PK Osika Plzeň - Mráz Václav</v>
      </c>
      <c r="C63" s="44" t="s">
        <v>117</v>
      </c>
      <c r="D63" s="43" t="str">
        <f ca="1">Sk.J!$E$9</f>
        <v>46 CdP Loděnice - Zderadička Jiří</v>
      </c>
      <c r="E63" s="162">
        <v>13</v>
      </c>
      <c r="F63" s="162">
        <v>11</v>
      </c>
      <c r="G63" s="366">
        <f ca="1">INDIRECT(ADDRESS(5,A61,1,1,"Hřiště"))</f>
        <v>11</v>
      </c>
      <c r="H63" s="16"/>
      <c r="K63" s="80">
        <f ca="1">IF(TRIM(D63)="-",1,IF(AND(E63="",F63=""),0,IF(N(E63)&gt;N(F63),1,2)))</f>
        <v>1</v>
      </c>
    </row>
    <row r="64" spans="1:11" ht="19.5">
      <c r="A64" s="55" t="s">
        <v>46</v>
      </c>
      <c r="B64" s="43" t="str">
        <f ca="1">Sk.J!$B$10</f>
        <v>10 SKP Kulová osma - Krejčín Leoš</v>
      </c>
      <c r="C64" s="44" t="s">
        <v>117</v>
      </c>
      <c r="D64" s="43" t="str">
        <f ca="1">Sk.J!$E$10</f>
        <v>27 PK Osika Plzeň - Mráz Václav</v>
      </c>
      <c r="E64" s="162">
        <v>13</v>
      </c>
      <c r="F64" s="162">
        <v>6</v>
      </c>
      <c r="G64" s="366">
        <f ca="1">INDIRECT(ADDRESS(4,A61,1,1,"Hřiště"))</f>
        <v>10</v>
      </c>
      <c r="H64" s="16"/>
      <c r="K64" s="80">
        <f ca="1">IF(TRIM(D64)="-",1,IF(AND(E64="",F64=""),0,IF(N(E64)&gt;N(F64),1,2)))</f>
        <v>1</v>
      </c>
    </row>
    <row r="65" spans="1:11" ht="19.5">
      <c r="A65" s="55" t="s">
        <v>47</v>
      </c>
      <c r="B65" s="43" t="str">
        <f ca="1">Sk.J!$B$11</f>
        <v>63 SK Španielka Řepy - Novotná Marie</v>
      </c>
      <c r="C65" s="44" t="s">
        <v>117</v>
      </c>
      <c r="D65" s="43" t="str">
        <f ca="1">Sk.J!$E$11</f>
        <v>46 CdP Loděnice - Zderadička Jiří</v>
      </c>
      <c r="E65" s="162">
        <v>1</v>
      </c>
      <c r="F65" s="162">
        <v>13</v>
      </c>
      <c r="G65" s="366">
        <f ca="1">INDIRECT(ADDRESS(5,A61,1,1,"Hřiště"))</f>
        <v>11</v>
      </c>
      <c r="H65" s="16"/>
      <c r="K65" s="80">
        <f ca="1">IF(TRIM(D65)="-",1,IF(AND(E65="",F65=""),0,IF(N(E65)&gt;N(F65),1,2)))</f>
        <v>2</v>
      </c>
    </row>
    <row r="66" spans="1:11" ht="20.25" thickBot="1">
      <c r="A66" s="56" t="s">
        <v>48</v>
      </c>
      <c r="B66" s="45" t="str">
        <f ca="1">Sk.J!$B$12</f>
        <v>27 PK Osika Plzeň - Mráz Václav</v>
      </c>
      <c r="C66" s="44" t="s">
        <v>117</v>
      </c>
      <c r="D66" s="45" t="str">
        <f ca="1">Sk.J!$E$12</f>
        <v>46 CdP Loděnice - Zderadička Jiří</v>
      </c>
      <c r="E66" s="163">
        <v>13</v>
      </c>
      <c r="F66" s="163">
        <v>8</v>
      </c>
      <c r="G66" s="367">
        <f ca="1">INDIRECT(ADDRESS(4,A61,1,1,"Hřiště"))</f>
        <v>10</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Sokol Kostomlaty - Škorničková Jaroslava</v>
      </c>
      <c r="C68" s="42" t="s">
        <v>117</v>
      </c>
      <c r="D68" s="41" t="str">
        <f ca="1">Sk.K!$E$8</f>
        <v>62 CdP Loděnice - Pospíšilová Šárka</v>
      </c>
      <c r="E68" s="161">
        <v>7</v>
      </c>
      <c r="F68" s="161">
        <v>8</v>
      </c>
      <c r="G68" s="378">
        <f ca="1">INDIRECT(ADDRESS(4,A67,1,1,"Hřiště"))</f>
        <v>12</v>
      </c>
      <c r="H68" s="16"/>
      <c r="I68">
        <v>11</v>
      </c>
      <c r="J68">
        <f>ROW()</f>
        <v>68</v>
      </c>
      <c r="K68" s="80">
        <f ca="1">IF(TRIM(D68)="-",1,IF(AND(E68="",F68=""),0,IF(N(E68)&gt;N(F68),1,2)))</f>
        <v>2</v>
      </c>
    </row>
    <row r="69" spans="1:11" ht="19.5">
      <c r="A69" s="55" t="s">
        <v>115</v>
      </c>
      <c r="B69" s="43" t="str">
        <f ca="1">Sk.K!$B$9</f>
        <v>26 CdP Loděnice - Nagy Radim</v>
      </c>
      <c r="C69" s="44" t="s">
        <v>117</v>
      </c>
      <c r="D69" s="43" t="str">
        <f ca="1">Sk.K!$E$9</f>
        <v>47 CdP Loděnice - Paták Jan</v>
      </c>
      <c r="E69" s="162">
        <v>7</v>
      </c>
      <c r="F69" s="162">
        <v>13</v>
      </c>
      <c r="G69" s="366">
        <f ca="1">INDIRECT(ADDRESS(5,A67,1,1,"Hřiště"))</f>
        <v>13</v>
      </c>
      <c r="H69" s="16"/>
      <c r="K69" s="80">
        <f ca="1">IF(TRIM(D69)="-",1,IF(AND(E69="",F69=""),0,IF(N(E69)&gt;N(F69),1,2)))</f>
        <v>2</v>
      </c>
    </row>
    <row r="70" spans="1:11" ht="19.5">
      <c r="A70" s="55" t="s">
        <v>46</v>
      </c>
      <c r="B70" s="43" t="str">
        <f ca="1">Sk.K!$B$10</f>
        <v>62 CdP Loděnice - Pospíšilová Šárka</v>
      </c>
      <c r="C70" s="44" t="s">
        <v>117</v>
      </c>
      <c r="D70" s="43" t="str">
        <f ca="1">Sk.K!$E$10</f>
        <v>47 CdP Loděnice - Paták Jan</v>
      </c>
      <c r="E70" s="162">
        <v>10</v>
      </c>
      <c r="F70" s="162">
        <v>9</v>
      </c>
      <c r="G70" s="366">
        <f ca="1">INDIRECT(ADDRESS(4,A67,1,1,"Hřiště"))</f>
        <v>12</v>
      </c>
      <c r="H70" s="16"/>
      <c r="K70" s="80">
        <f ca="1">IF(TRIM(D70)="-",1,IF(AND(E70="",F70=""),0,IF(N(E70)&gt;N(F70),1,2)))</f>
        <v>1</v>
      </c>
    </row>
    <row r="71" spans="1:11" ht="19.5">
      <c r="A71" s="55" t="s">
        <v>47</v>
      </c>
      <c r="B71" s="43" t="str">
        <f ca="1">Sk.K!$B$11</f>
        <v>11 Sokol Kostomlaty - Škorničková Jaroslava</v>
      </c>
      <c r="C71" s="44" t="s">
        <v>117</v>
      </c>
      <c r="D71" s="43" t="str">
        <f ca="1">Sk.K!$E$11</f>
        <v>26 CdP Loděnice - Nagy Radim</v>
      </c>
      <c r="E71" s="162">
        <v>6</v>
      </c>
      <c r="F71" s="162">
        <v>11</v>
      </c>
      <c r="G71" s="366">
        <f ca="1">INDIRECT(ADDRESS(5,A67,1,1,"Hřiště"))</f>
        <v>13</v>
      </c>
      <c r="H71" s="16"/>
      <c r="K71" s="80">
        <f ca="1">IF(TRIM(D71)="-",1,IF(AND(E71="",F71=""),0,IF(N(E71)&gt;N(F71),1,2)))</f>
        <v>2</v>
      </c>
    </row>
    <row r="72" spans="1:11" ht="20.25" thickBot="1">
      <c r="A72" s="56" t="s">
        <v>48</v>
      </c>
      <c r="B72" s="45" t="str">
        <f ca="1">Sk.K!$B$12</f>
        <v>47 CdP Loděnice - Paták Jan</v>
      </c>
      <c r="C72" s="44" t="s">
        <v>117</v>
      </c>
      <c r="D72" s="45" t="str">
        <f ca="1">Sk.K!$E$12</f>
        <v>26 CdP Loděnice - Nagy Radim</v>
      </c>
      <c r="E72" s="163">
        <v>13</v>
      </c>
      <c r="F72" s="163">
        <v>6</v>
      </c>
      <c r="G72" s="367">
        <f ca="1">INDIRECT(ADDRESS(4,A67,1,1,"Hřiště"))</f>
        <v>12</v>
      </c>
      <c r="K72" s="80">
        <f ca="1">IF(TRIM(D72)="-",1,IF(AND(E72="",F72=""),0,IF(N(E72)&gt;N(F72),1,2)))</f>
        <v>1</v>
      </c>
    </row>
    <row r="73" spans="1:11" ht="23.25" thickBot="1">
      <c r="A73" s="52">
        <v>12</v>
      </c>
      <c r="B73" s="52"/>
      <c r="C73" s="57" t="s">
        <v>267</v>
      </c>
      <c r="D73" s="52"/>
      <c r="E73" s="249"/>
      <c r="F73" s="249"/>
      <c r="G73" s="53"/>
      <c r="H73" s="16"/>
    </row>
    <row r="74" spans="1:11" ht="19.5">
      <c r="A74" s="54" t="s">
        <v>114</v>
      </c>
      <c r="B74" s="41" t="str">
        <f ca="1">Sk.L!$B$8</f>
        <v>12 SKP Kulová osma - Chmelař Ivo</v>
      </c>
      <c r="C74" s="42" t="s">
        <v>117</v>
      </c>
      <c r="D74" s="41" t="str">
        <f ca="1">Sk.L!$E$8</f>
        <v>61 SK Španielka Řepy - Prajer Milan</v>
      </c>
      <c r="E74" s="161">
        <v>13</v>
      </c>
      <c r="F74" s="161">
        <v>2</v>
      </c>
      <c r="G74" s="378">
        <f ca="1">INDIRECT(ADDRESS(4,A73,1,1,"Hřiště"))</f>
        <v>14</v>
      </c>
      <c r="H74" s="16"/>
      <c r="I74">
        <v>12</v>
      </c>
      <c r="J74">
        <f>ROW()</f>
        <v>74</v>
      </c>
      <c r="K74" s="80">
        <f ca="1">IF(TRIM(D74)="-",1,IF(AND(E74="",F74=""),0,IF(N(E74)&gt;N(F74),1,2)))</f>
        <v>1</v>
      </c>
    </row>
    <row r="75" spans="1:11" ht="19.5">
      <c r="A75" s="55" t="s">
        <v>115</v>
      </c>
      <c r="B75" s="43" t="str">
        <f ca="1">Sk.L!$B$9</f>
        <v>25 PC Sokol Lipník - Mazúr Pavel</v>
      </c>
      <c r="C75" s="44" t="s">
        <v>117</v>
      </c>
      <c r="D75" s="43" t="str">
        <f ca="1">Sk.L!$E$9</f>
        <v>48 PCP Lipník - Reinbergrová Václava</v>
      </c>
      <c r="E75" s="162">
        <v>10</v>
      </c>
      <c r="F75" s="162">
        <v>13</v>
      </c>
      <c r="G75" s="366">
        <f ca="1">INDIRECT(ADDRESS(5,A73,1,1,"Hřiště"))</f>
        <v>15</v>
      </c>
      <c r="H75" s="16"/>
      <c r="K75" s="80">
        <f ca="1">IF(TRIM(D75)="-",1,IF(AND(E75="",F75=""),0,IF(N(E75)&gt;N(F75),1,2)))</f>
        <v>2</v>
      </c>
    </row>
    <row r="76" spans="1:11" ht="19.5">
      <c r="A76" s="55" t="s">
        <v>46</v>
      </c>
      <c r="B76" s="43" t="str">
        <f ca="1">Sk.L!$B$10</f>
        <v>12 SKP Kulová osma - Chmelař Ivo</v>
      </c>
      <c r="C76" s="44" t="s">
        <v>117</v>
      </c>
      <c r="D76" s="43" t="str">
        <f ca="1">Sk.L!$E$10</f>
        <v>48 PCP Lipník - Reinbergrová Václava</v>
      </c>
      <c r="E76" s="162">
        <v>11</v>
      </c>
      <c r="F76" s="162">
        <v>10</v>
      </c>
      <c r="G76" s="366">
        <f ca="1">INDIRECT(ADDRESS(4,A73,1,1,"Hřiště"))</f>
        <v>14</v>
      </c>
      <c r="H76" s="16"/>
      <c r="K76" s="80">
        <f ca="1">IF(TRIM(D76)="-",1,IF(AND(E76="",F76=""),0,IF(N(E76)&gt;N(F76),1,2)))</f>
        <v>1</v>
      </c>
    </row>
    <row r="77" spans="1:11" ht="19.5">
      <c r="A77" s="55" t="s">
        <v>47</v>
      </c>
      <c r="B77" s="43" t="str">
        <f ca="1">Sk.L!$B$11</f>
        <v>61 SK Španielka Řepy - Prajer Milan</v>
      </c>
      <c r="C77" s="44" t="s">
        <v>117</v>
      </c>
      <c r="D77" s="43" t="str">
        <f ca="1">Sk.L!$E$11</f>
        <v>25 PC Sokol Lipník - Mazúr Pavel</v>
      </c>
      <c r="E77" s="162">
        <v>6</v>
      </c>
      <c r="F77" s="162">
        <v>13</v>
      </c>
      <c r="G77" s="366">
        <f ca="1">INDIRECT(ADDRESS(5,A73,1,1,"Hřiště"))</f>
        <v>15</v>
      </c>
      <c r="H77" s="16"/>
      <c r="K77" s="80">
        <f ca="1">IF(TRIM(D77)="-",1,IF(AND(E77="",F77=""),0,IF(N(E77)&gt;N(F77),1,2)))</f>
        <v>2</v>
      </c>
    </row>
    <row r="78" spans="1:11" ht="20.25" thickBot="1">
      <c r="A78" s="56" t="s">
        <v>48</v>
      </c>
      <c r="B78" s="45" t="str">
        <f ca="1">Sk.L!$B$12</f>
        <v>48 PCP Lipník - Reinbergrová Václava</v>
      </c>
      <c r="C78" s="44" t="s">
        <v>117</v>
      </c>
      <c r="D78" s="45" t="str">
        <f ca="1">Sk.L!$E$12</f>
        <v>25 PC Sokol Lipník - Mazúr Pavel</v>
      </c>
      <c r="E78" s="163">
        <v>9</v>
      </c>
      <c r="F78" s="163">
        <v>13</v>
      </c>
      <c r="G78" s="367">
        <f ca="1">INDIRECT(ADDRESS(4,A73,1,1,"Hřiště"))</f>
        <v>14</v>
      </c>
      <c r="K78" s="80">
        <f ca="1">IF(TRIM(D78)="-",1,IF(AND(E78="",F78=""),0,IF(N(E78)&gt;N(F78),1,2)))</f>
        <v>2</v>
      </c>
    </row>
    <row r="79" spans="1:11" ht="23.25" thickBot="1">
      <c r="A79" s="52">
        <v>13</v>
      </c>
      <c r="B79" s="52"/>
      <c r="C79" s="57" t="s">
        <v>268</v>
      </c>
      <c r="D79" s="52"/>
      <c r="E79" s="249"/>
      <c r="F79" s="249"/>
      <c r="G79" s="53"/>
      <c r="H79" s="16"/>
    </row>
    <row r="80" spans="1:11" ht="19.5">
      <c r="A80" s="54" t="s">
        <v>114</v>
      </c>
      <c r="B80" s="41" t="str">
        <f ca="1">Sk.M!$B$8</f>
        <v>13 PC Kolová - Plucar Petr</v>
      </c>
      <c r="C80" s="42" t="s">
        <v>117</v>
      </c>
      <c r="D80" s="41" t="str">
        <f ca="1">Sk.M!$E$8</f>
        <v>60 PK Osika Plzeň - Přibyl Miroslav</v>
      </c>
      <c r="E80" s="161">
        <v>13</v>
      </c>
      <c r="F80" s="161">
        <v>1</v>
      </c>
      <c r="G80" s="378">
        <f ca="1">INDIRECT(ADDRESS(4,A79,1,1,"Hřiště"))</f>
        <v>16</v>
      </c>
      <c r="H80" s="16"/>
      <c r="I80">
        <v>13</v>
      </c>
      <c r="J80">
        <f>ROW()</f>
        <v>80</v>
      </c>
      <c r="K80" s="80">
        <f ca="1">IF(TRIM(D80)="-",1,IF(AND(E80="",F80=""),0,IF(N(E80)&gt;N(F80),1,2)))</f>
        <v>1</v>
      </c>
    </row>
    <row r="81" spans="1:11" ht="19.5">
      <c r="A81" s="55" t="s">
        <v>115</v>
      </c>
      <c r="B81" s="43" t="str">
        <f ca="1">Sk.M!$B$9</f>
        <v>24 PK Osika Plzeň - Jirkovský Tomáš</v>
      </c>
      <c r="C81" s="44" t="s">
        <v>117</v>
      </c>
      <c r="D81" s="43" t="str">
        <f ca="1">Sk.M!$E$9</f>
        <v>49 PEK Stolín - Hájková Dorota</v>
      </c>
      <c r="E81" s="162">
        <v>9</v>
      </c>
      <c r="F81" s="162">
        <v>11</v>
      </c>
      <c r="G81" s="366">
        <f ca="1">INDIRECT(ADDRESS(5,A79,1,1,"Hřiště"))</f>
        <v>17</v>
      </c>
      <c r="H81" s="16"/>
      <c r="K81" s="80">
        <f ca="1">IF(TRIM(D81)="-",1,IF(AND(E81="",F81=""),0,IF(N(E81)&gt;N(F81),1,2)))</f>
        <v>2</v>
      </c>
    </row>
    <row r="82" spans="1:11" ht="19.5">
      <c r="A82" s="55" t="s">
        <v>46</v>
      </c>
      <c r="B82" s="43" t="str">
        <f ca="1">Sk.M!$B$10</f>
        <v>13 PC Kolová - Plucar Petr</v>
      </c>
      <c r="C82" s="44" t="s">
        <v>117</v>
      </c>
      <c r="D82" s="43" t="str">
        <f ca="1">Sk.M!$E$10</f>
        <v>49 PEK Stolín - Hájková Dorota</v>
      </c>
      <c r="E82" s="162">
        <v>10</v>
      </c>
      <c r="F82" s="162">
        <v>5</v>
      </c>
      <c r="G82" s="366">
        <f ca="1">INDIRECT(ADDRESS(4,A79,1,1,"Hřiště"))</f>
        <v>16</v>
      </c>
      <c r="H82" s="16"/>
      <c r="K82" s="80">
        <f ca="1">IF(TRIM(D82)="-",1,IF(AND(E82="",F82=""),0,IF(N(E82)&gt;N(F82),1,2)))</f>
        <v>1</v>
      </c>
    </row>
    <row r="83" spans="1:11" ht="19.5">
      <c r="A83" s="55" t="s">
        <v>47</v>
      </c>
      <c r="B83" s="43" t="str">
        <f ca="1">Sk.M!$B$11</f>
        <v>60 PK Osika Plzeň - Přibyl Miroslav</v>
      </c>
      <c r="C83" s="44" t="s">
        <v>117</v>
      </c>
      <c r="D83" s="43" t="str">
        <f ca="1">Sk.M!$E$11</f>
        <v>24 PK Osika Plzeň - Jirkovský Tomáš</v>
      </c>
      <c r="E83" s="162">
        <v>2</v>
      </c>
      <c r="F83" s="162">
        <v>13</v>
      </c>
      <c r="G83" s="366">
        <f ca="1">INDIRECT(ADDRESS(5,A79,1,1,"Hřiště"))</f>
        <v>17</v>
      </c>
      <c r="H83" s="16"/>
      <c r="K83" s="80">
        <f ca="1">IF(TRIM(D83)="-",1,IF(AND(E83="",F83=""),0,IF(N(E83)&gt;N(F83),1,2)))</f>
        <v>2</v>
      </c>
    </row>
    <row r="84" spans="1:11" ht="20.25" thickBot="1">
      <c r="A84" s="56" t="s">
        <v>48</v>
      </c>
      <c r="B84" s="45" t="str">
        <f ca="1">Sk.M!$B$12</f>
        <v>49 PEK Stolín - Hájková Dorota</v>
      </c>
      <c r="C84" s="44" t="s">
        <v>117</v>
      </c>
      <c r="D84" s="45" t="str">
        <f ca="1">Sk.M!$E$12</f>
        <v>24 PK Osika Plzeň - Jirkovský Tomáš</v>
      </c>
      <c r="E84" s="163">
        <v>5</v>
      </c>
      <c r="F84" s="163">
        <v>13</v>
      </c>
      <c r="G84" s="367">
        <f ca="1">INDIRECT(ADDRESS(4,A79,1,1,"Hřiště"))</f>
        <v>16</v>
      </c>
      <c r="K84" s="80">
        <f ca="1">IF(TRIM(D84)="-",1,IF(AND(E84="",F84=""),0,IF(N(E84)&gt;N(F84),1,2)))</f>
        <v>2</v>
      </c>
    </row>
    <row r="85" spans="1:11" ht="23.25" thickBot="1">
      <c r="A85" s="52">
        <v>14</v>
      </c>
      <c r="B85" s="52"/>
      <c r="C85" s="57" t="s">
        <v>269</v>
      </c>
      <c r="D85" s="52"/>
      <c r="E85" s="249"/>
      <c r="F85" s="249"/>
      <c r="G85" s="53"/>
      <c r="H85" s="16"/>
    </row>
    <row r="86" spans="1:11" ht="19.5">
      <c r="A86" s="54" t="s">
        <v>114</v>
      </c>
      <c r="B86" s="41" t="str">
        <f ca="1">Sk.N!$B$8</f>
        <v>14 Petank Club Praha - Vorel Jan</v>
      </c>
      <c r="C86" s="42" t="s">
        <v>117</v>
      </c>
      <c r="D86" s="41" t="str">
        <f ca="1">Sk.N!$E$8</f>
        <v>59 CP VARY - Fürst Jiří</v>
      </c>
      <c r="E86" s="161">
        <v>13</v>
      </c>
      <c r="F86" s="161">
        <v>4</v>
      </c>
      <c r="G86" s="378">
        <f ca="1">INDIRECT(ADDRESS(4,A85,1,1,"Hřiště"))</f>
        <v>18</v>
      </c>
      <c r="H86" s="16"/>
      <c r="I86">
        <v>14</v>
      </c>
      <c r="J86">
        <f>ROW()</f>
        <v>86</v>
      </c>
      <c r="K86" s="80">
        <f ca="1">IF(TRIM(D86)="-",1,IF(AND(E86="",F86=""),0,IF(N(E86)&gt;N(F86),1,2)))</f>
        <v>1</v>
      </c>
    </row>
    <row r="87" spans="1:11" ht="19.5">
      <c r="A87" s="55" t="s">
        <v>115</v>
      </c>
      <c r="B87" s="43" t="str">
        <f ca="1">Sk.N!$B$9</f>
        <v>23 Club Rodamiento - Sjögren Magda</v>
      </c>
      <c r="C87" s="44" t="s">
        <v>117</v>
      </c>
      <c r="D87" s="43" t="str">
        <f ca="1">Sk.N!$E$9</f>
        <v>50 C.T.P. Club Ořech - Glaser Vladimír</v>
      </c>
      <c r="E87" s="162">
        <v>8</v>
      </c>
      <c r="F87" s="162">
        <v>10</v>
      </c>
      <c r="G87" s="366">
        <f ca="1">INDIRECT(ADDRESS(5,A85,1,1,"Hřiště"))</f>
        <v>19</v>
      </c>
      <c r="H87" s="16"/>
      <c r="K87" s="80">
        <f ca="1">IF(TRIM(D87)="-",1,IF(AND(E87="",F87=""),0,IF(N(E87)&gt;N(F87),1,2)))</f>
        <v>2</v>
      </c>
    </row>
    <row r="88" spans="1:11" ht="19.5">
      <c r="A88" s="55" t="s">
        <v>46</v>
      </c>
      <c r="B88" s="43" t="str">
        <f ca="1">Sk.N!$B$10</f>
        <v>14 Petank Club Praha - Vorel Jan</v>
      </c>
      <c r="C88" s="44" t="s">
        <v>117</v>
      </c>
      <c r="D88" s="43" t="str">
        <f ca="1">Sk.N!$E$10</f>
        <v>50 C.T.P. Club Ořech - Glaser Vladimír</v>
      </c>
      <c r="E88" s="162">
        <v>12</v>
      </c>
      <c r="F88" s="162">
        <v>8</v>
      </c>
      <c r="G88" s="366">
        <f ca="1">INDIRECT(ADDRESS(4,A85,1,1,"Hřiště"))</f>
        <v>18</v>
      </c>
      <c r="H88" s="16"/>
      <c r="K88" s="80">
        <f ca="1">IF(TRIM(D88)="-",1,IF(AND(E88="",F88=""),0,IF(N(E88)&gt;N(F88),1,2)))</f>
        <v>1</v>
      </c>
    </row>
    <row r="89" spans="1:11" ht="19.5">
      <c r="A89" s="55" t="s">
        <v>47</v>
      </c>
      <c r="B89" s="43" t="str">
        <f ca="1">Sk.N!$B$11</f>
        <v>59 CP VARY - Fürst Jiří</v>
      </c>
      <c r="C89" s="44" t="s">
        <v>117</v>
      </c>
      <c r="D89" s="43" t="str">
        <f ca="1">Sk.N!$E$11</f>
        <v>23 Club Rodamiento - Sjögren Magda</v>
      </c>
      <c r="E89" s="162">
        <v>3</v>
      </c>
      <c r="F89" s="162">
        <v>13</v>
      </c>
      <c r="G89" s="366">
        <f ca="1">INDIRECT(ADDRESS(5,A85,1,1,"Hřiště"))</f>
        <v>19</v>
      </c>
      <c r="H89" s="16"/>
      <c r="K89" s="80">
        <f ca="1">IF(TRIM(D89)="-",1,IF(AND(E89="",F89=""),0,IF(N(E89)&gt;N(F89),1,2)))</f>
        <v>2</v>
      </c>
    </row>
    <row r="90" spans="1:11" ht="20.25" thickBot="1">
      <c r="A90" s="56" t="s">
        <v>48</v>
      </c>
      <c r="B90" s="45" t="str">
        <f ca="1">Sk.N!$B$12</f>
        <v>50 C.T.P. Club Ořech - Glaser Vladimír</v>
      </c>
      <c r="C90" s="44" t="s">
        <v>117</v>
      </c>
      <c r="D90" s="45" t="str">
        <f ca="1">Sk.N!$E$12</f>
        <v>23 Club Rodamiento - Sjögren Magda</v>
      </c>
      <c r="E90" s="163">
        <v>8</v>
      </c>
      <c r="F90" s="163">
        <v>13</v>
      </c>
      <c r="G90" s="367">
        <f ca="1">INDIRECT(ADDRESS(4,A85,1,1,"Hřiště"))</f>
        <v>18</v>
      </c>
      <c r="K90" s="80">
        <f ca="1">IF(TRIM(D90)="-",1,IF(AND(E90="",F90=""),0,IF(N(E90)&gt;N(F90),1,2)))</f>
        <v>2</v>
      </c>
    </row>
    <row r="91" spans="1:11" ht="23.25" thickBot="1">
      <c r="A91" s="52">
        <v>15</v>
      </c>
      <c r="B91" s="52"/>
      <c r="C91" s="57" t="s">
        <v>270</v>
      </c>
      <c r="D91" s="52"/>
      <c r="E91" s="249"/>
      <c r="F91" s="249"/>
      <c r="G91" s="53"/>
      <c r="H91" s="16"/>
    </row>
    <row r="92" spans="1:11" ht="19.5">
      <c r="A92" s="54" t="s">
        <v>114</v>
      </c>
      <c r="B92" s="41" t="str">
        <f ca="1">Sk.O!$B$8</f>
        <v>15 Sokol Kostomlaty - Vyoral Hynek</v>
      </c>
      <c r="C92" s="42" t="s">
        <v>117</v>
      </c>
      <c r="D92" s="41" t="str">
        <f ca="1">Sk.O!$E$8</f>
        <v>58 SKP Kulová osma - Pavýza Milan</v>
      </c>
      <c r="E92" s="161">
        <v>13</v>
      </c>
      <c r="F92" s="161">
        <v>2</v>
      </c>
      <c r="G92" s="378">
        <f ca="1">INDIRECT(ADDRESS(4,A91,1,1,"Hřiště"))</f>
        <v>20</v>
      </c>
      <c r="H92" s="16"/>
      <c r="I92">
        <v>15</v>
      </c>
      <c r="J92">
        <f>ROW()</f>
        <v>92</v>
      </c>
      <c r="K92" s="80">
        <f ca="1">IF(TRIM(D92)="-",1,IF(AND(E92="",F92=""),0,IF(N(E92)&gt;N(F92),1,2)))</f>
        <v>1</v>
      </c>
    </row>
    <row r="93" spans="1:11" ht="19.5">
      <c r="A93" s="55" t="s">
        <v>115</v>
      </c>
      <c r="B93" s="43" t="str">
        <f ca="1">Sk.O!$B$9</f>
        <v>22 SKP Kulová osma - Zátka Miloslav</v>
      </c>
      <c r="C93" s="44" t="s">
        <v>117</v>
      </c>
      <c r="D93" s="43" t="str">
        <f ca="1">Sk.O!$E$9</f>
        <v>51 SKP Kulová osma - Fára Jindřich</v>
      </c>
      <c r="E93" s="162">
        <v>13</v>
      </c>
      <c r="F93" s="162">
        <v>1</v>
      </c>
      <c r="G93" s="366">
        <f ca="1">INDIRECT(ADDRESS(5,A91,1,1,"Hřiště"))</f>
        <v>21</v>
      </c>
      <c r="H93" s="16"/>
      <c r="K93" s="80">
        <f ca="1">IF(TRIM(D93)="-",1,IF(AND(E93="",F93=""),0,IF(N(E93)&gt;N(F93),1,2)))</f>
        <v>1</v>
      </c>
    </row>
    <row r="94" spans="1:11" ht="19.5">
      <c r="A94" s="55" t="s">
        <v>46</v>
      </c>
      <c r="B94" s="43" t="str">
        <f ca="1">Sk.O!$B$10</f>
        <v>15 Sokol Kostomlaty - Vyoral Hynek</v>
      </c>
      <c r="C94" s="44" t="s">
        <v>117</v>
      </c>
      <c r="D94" s="43" t="str">
        <f ca="1">Sk.O!$E$10</f>
        <v>22 SKP Kulová osma - Zátka Miloslav</v>
      </c>
      <c r="E94" s="162">
        <v>13</v>
      </c>
      <c r="F94" s="162">
        <v>2</v>
      </c>
      <c r="G94" s="366">
        <f ca="1">INDIRECT(ADDRESS(4,A91,1,1,"Hřiště"))</f>
        <v>20</v>
      </c>
      <c r="H94" s="16"/>
      <c r="K94" s="80">
        <f ca="1">IF(TRIM(D94)="-",1,IF(AND(E94="",F94=""),0,IF(N(E94)&gt;N(F94),1,2)))</f>
        <v>1</v>
      </c>
    </row>
    <row r="95" spans="1:11" ht="19.5">
      <c r="A95" s="55" t="s">
        <v>47</v>
      </c>
      <c r="B95" s="43" t="str">
        <f ca="1">Sk.O!$B$11</f>
        <v>58 SKP Kulová osma - Pavýza Milan</v>
      </c>
      <c r="C95" s="44" t="s">
        <v>117</v>
      </c>
      <c r="D95" s="43" t="str">
        <f ca="1">Sk.O!$E$11</f>
        <v>51 SKP Kulová osma - Fára Jindřich</v>
      </c>
      <c r="E95" s="162">
        <v>12</v>
      </c>
      <c r="F95" s="162">
        <v>13</v>
      </c>
      <c r="G95" s="366">
        <f ca="1">INDIRECT(ADDRESS(5,A91,1,1,"Hřiště"))</f>
        <v>21</v>
      </c>
      <c r="H95" s="16"/>
      <c r="K95" s="80">
        <f ca="1">IF(TRIM(D95)="-",1,IF(AND(E95="",F95=""),0,IF(N(E95)&gt;N(F95),1,2)))</f>
        <v>2</v>
      </c>
    </row>
    <row r="96" spans="1:11" ht="20.25" thickBot="1">
      <c r="A96" s="56" t="s">
        <v>48</v>
      </c>
      <c r="B96" s="45" t="str">
        <f ca="1">Sk.O!$B$12</f>
        <v>22 SKP Kulová osma - Zátka Miloslav</v>
      </c>
      <c r="C96" s="44" t="s">
        <v>117</v>
      </c>
      <c r="D96" s="45" t="str">
        <f ca="1">Sk.O!$E$12</f>
        <v>51 SKP Kulová osma - Fára Jindřich</v>
      </c>
      <c r="E96" s="163">
        <v>13</v>
      </c>
      <c r="F96" s="163">
        <v>6</v>
      </c>
      <c r="G96" s="367">
        <f ca="1">INDIRECT(ADDRESS(4,A91,1,1,"Hřiště"))</f>
        <v>20</v>
      </c>
      <c r="K96" s="80">
        <f ca="1">IF(TRIM(D96)="-",1,IF(AND(E96="",F96=""),0,IF(N(E96)&gt;N(F96),1,2)))</f>
        <v>1</v>
      </c>
    </row>
    <row r="97" spans="1:11" ht="23.25" thickBot="1">
      <c r="A97" s="52">
        <v>16</v>
      </c>
      <c r="B97" s="52"/>
      <c r="C97" s="57" t="s">
        <v>271</v>
      </c>
      <c r="D97" s="52"/>
      <c r="E97" s="249"/>
      <c r="F97" s="249"/>
      <c r="G97" s="53"/>
      <c r="H97" s="16"/>
    </row>
    <row r="98" spans="1:11" ht="19.5">
      <c r="A98" s="54" t="s">
        <v>114</v>
      </c>
      <c r="B98" s="41" t="str">
        <f ca="1">Sk.P!$B$8</f>
        <v>16 1. KPK Vrchlabí - Mašek Pavel</v>
      </c>
      <c r="C98" s="42" t="s">
        <v>117</v>
      </c>
      <c r="D98" s="41" t="str">
        <f ca="1">Sk.P!$E$8</f>
        <v>57 Orel Řečkovice - Leistnerová Lucie</v>
      </c>
      <c r="E98" s="161">
        <v>13</v>
      </c>
      <c r="F98" s="161">
        <v>0</v>
      </c>
      <c r="G98" s="378">
        <f ca="1">INDIRECT(ADDRESS(4,A97,1,1,"Hřiště"))</f>
        <v>22</v>
      </c>
      <c r="H98" s="16"/>
      <c r="I98">
        <v>16</v>
      </c>
      <c r="J98">
        <f>ROW()</f>
        <v>98</v>
      </c>
      <c r="K98" s="80">
        <f ca="1">IF(TRIM(D98)="-",1,IF(AND(E98="",F98=""),0,IF(N(E98)&gt;N(F98),1,2)))</f>
        <v>1</v>
      </c>
    </row>
    <row r="99" spans="1:11" ht="19.5">
      <c r="A99" s="55" t="s">
        <v>115</v>
      </c>
      <c r="B99" s="43" t="str">
        <f ca="1">Sk.P!$B$9</f>
        <v>21 Sokol Kostomlaty - Vaníček Rudolf</v>
      </c>
      <c r="C99" s="44" t="s">
        <v>117</v>
      </c>
      <c r="D99" s="43" t="str">
        <f ca="1">Sk.P!$E$9</f>
        <v>52 CdP Loděnice - Janoš Jiří</v>
      </c>
      <c r="E99" s="162">
        <v>11</v>
      </c>
      <c r="F99" s="162">
        <v>13</v>
      </c>
      <c r="G99" s="366">
        <f ca="1">INDIRECT(ADDRESS(5,A97,1,1,"Hřiště"))</f>
        <v>23</v>
      </c>
      <c r="H99" s="16"/>
      <c r="K99" s="80">
        <f ca="1">IF(TRIM(D99)="-",1,IF(AND(E99="",F99=""),0,IF(N(E99)&gt;N(F99),1,2)))</f>
        <v>2</v>
      </c>
    </row>
    <row r="100" spans="1:11" ht="19.5">
      <c r="A100" s="55" t="s">
        <v>46</v>
      </c>
      <c r="B100" s="43" t="str">
        <f ca="1">Sk.P!$B$10</f>
        <v>16 1. KPK Vrchlabí - Mašek Pavel</v>
      </c>
      <c r="C100" s="44" t="s">
        <v>117</v>
      </c>
      <c r="D100" s="43" t="str">
        <f ca="1">Sk.P!$E$10</f>
        <v>52 CdP Loděnice - Janoš Jiří</v>
      </c>
      <c r="E100" s="162">
        <v>13</v>
      </c>
      <c r="F100" s="162">
        <v>1</v>
      </c>
      <c r="G100" s="366">
        <f ca="1">INDIRECT(ADDRESS(4,A97,1,1,"Hřiště"))</f>
        <v>22</v>
      </c>
      <c r="H100" s="16"/>
      <c r="K100" s="80">
        <f ca="1">IF(TRIM(D100)="-",1,IF(AND(E100="",F100=""),0,IF(N(E100)&gt;N(F100),1,2)))</f>
        <v>1</v>
      </c>
    </row>
    <row r="101" spans="1:11" ht="19.5">
      <c r="A101" s="55" t="s">
        <v>47</v>
      </c>
      <c r="B101" s="43" t="str">
        <f ca="1">Sk.P!$B$11</f>
        <v>57 Orel Řečkovice - Leistnerová Lucie</v>
      </c>
      <c r="C101" s="44" t="s">
        <v>117</v>
      </c>
      <c r="D101" s="43" t="str">
        <f ca="1">Sk.P!$E$11</f>
        <v>21 Sokol Kostomlaty - Vaníček Rudolf</v>
      </c>
      <c r="E101" s="162">
        <v>13</v>
      </c>
      <c r="F101" s="162">
        <v>10</v>
      </c>
      <c r="G101" s="366">
        <f ca="1">INDIRECT(ADDRESS(5,A97,1,1,"Hřiště"))</f>
        <v>23</v>
      </c>
      <c r="H101" s="16"/>
      <c r="K101" s="80">
        <f ca="1">IF(TRIM(D101)="-",1,IF(AND(E101="",F101=""),0,IF(N(E101)&gt;N(F101),1,2)))</f>
        <v>1</v>
      </c>
    </row>
    <row r="102" spans="1:11" ht="20.25" thickBot="1">
      <c r="A102" s="56" t="s">
        <v>48</v>
      </c>
      <c r="B102" s="45" t="str">
        <f ca="1">Sk.P!$B$12</f>
        <v>52 CdP Loděnice - Janoš Jiří</v>
      </c>
      <c r="C102" s="44" t="s">
        <v>117</v>
      </c>
      <c r="D102" s="45" t="str">
        <f ca="1">Sk.P!$E$12</f>
        <v>57 Orel Řečkovice - Leistnerová Lucie</v>
      </c>
      <c r="E102" s="163">
        <v>13</v>
      </c>
      <c r="F102" s="163">
        <v>4</v>
      </c>
      <c r="G102" s="367">
        <f ca="1">INDIRECT(ADDRESS(4,A97,1,1,"Hřiště"))</f>
        <v>22</v>
      </c>
      <c r="K102" s="80">
        <f ca="1">IF(TRIM(D102)="-",1,IF(AND(E102="",F102=""),0,IF(N(E102)&gt;N(F102),1,2)))</f>
        <v>1</v>
      </c>
    </row>
    <row r="103" spans="1:11" ht="23.25" thickBot="1">
      <c r="A103" s="52">
        <v>17</v>
      </c>
      <c r="B103" s="52"/>
      <c r="C103" s="57" t="s">
        <v>278</v>
      </c>
      <c r="D103" s="52"/>
      <c r="E103" s="249"/>
      <c r="F103" s="249"/>
      <c r="G103" s="53"/>
      <c r="H103" s="16"/>
    </row>
    <row r="104" spans="1:11" ht="19.5">
      <c r="A104" s="54" t="s">
        <v>114</v>
      </c>
      <c r="B104" s="41" t="str">
        <f ca="1">Sk.Q!$B$8</f>
        <v>17 PC Sokol Lipník - Gorroňo López Blanka</v>
      </c>
      <c r="C104" s="42" t="s">
        <v>117</v>
      </c>
      <c r="D104" s="41" t="str">
        <f ca="1">Sk.Q!$E$8</f>
        <v>56 SK Španielka Řepy - Szitányiová Mária</v>
      </c>
      <c r="E104" s="161">
        <v>13</v>
      </c>
      <c r="F104" s="161">
        <v>9</v>
      </c>
      <c r="G104" s="378">
        <f ca="1">INDIRECT(ADDRESS(4,A103,1,1,"Hřiště"))</f>
        <v>24</v>
      </c>
      <c r="H104" s="16"/>
      <c r="I104">
        <v>17</v>
      </c>
      <c r="J104">
        <f>ROW()</f>
        <v>104</v>
      </c>
      <c r="K104" s="80">
        <f ca="1">IF(TRIM(D104)="-",1,IF(AND(E104="",F104=""),0,IF(N(E104)&gt;N(F104),1,2)))</f>
        <v>1</v>
      </c>
    </row>
    <row r="105" spans="1:11" ht="19.5">
      <c r="A105" s="55" t="s">
        <v>115</v>
      </c>
      <c r="B105" s="43" t="str">
        <f ca="1">Sk.Q!$B$9</f>
        <v>20 Club Rodamiento - Dlouhá Ivana</v>
      </c>
      <c r="C105" s="44" t="s">
        <v>117</v>
      </c>
      <c r="D105" s="43" t="str">
        <f ca="1">Sk.Q!$E$9</f>
        <v>53 CP VARY - Šimek Petr</v>
      </c>
      <c r="E105" s="162">
        <v>13</v>
      </c>
      <c r="F105" s="162">
        <v>7</v>
      </c>
      <c r="G105" s="366">
        <f ca="1">INDIRECT(ADDRESS(5,A103,1,1,"Hřiště"))</f>
        <v>25</v>
      </c>
      <c r="H105" s="16"/>
      <c r="K105" s="80">
        <f ca="1">IF(TRIM(D105)="-",1,IF(AND(E105="",F105=""),0,IF(N(E105)&gt;N(F105),1,2)))</f>
        <v>1</v>
      </c>
    </row>
    <row r="106" spans="1:11" ht="19.5">
      <c r="A106" s="55" t="s">
        <v>46</v>
      </c>
      <c r="B106" s="43" t="str">
        <f ca="1">Sk.Q!$B$10</f>
        <v>17 PC Sokol Lipník - Gorroňo López Blanka</v>
      </c>
      <c r="C106" s="44" t="s">
        <v>117</v>
      </c>
      <c r="D106" s="43" t="str">
        <f ca="1">Sk.Q!$E$10</f>
        <v>20 Club Rodamiento - Dlouhá Ivana</v>
      </c>
      <c r="E106" s="162">
        <v>6</v>
      </c>
      <c r="F106" s="162">
        <v>13</v>
      </c>
      <c r="G106" s="366">
        <f ca="1">INDIRECT(ADDRESS(4,A103,1,1,"Hřiště"))</f>
        <v>24</v>
      </c>
      <c r="H106" s="16"/>
      <c r="K106" s="80">
        <f ca="1">IF(TRIM(D106)="-",1,IF(AND(E106="",F106=""),0,IF(N(E106)&gt;N(F106),1,2)))</f>
        <v>2</v>
      </c>
    </row>
    <row r="107" spans="1:11" ht="19.5">
      <c r="A107" s="55" t="s">
        <v>47</v>
      </c>
      <c r="B107" s="43" t="str">
        <f ca="1">Sk.Q!$B$11</f>
        <v>56 SK Španielka Řepy - Szitányiová Mária</v>
      </c>
      <c r="C107" s="44" t="s">
        <v>117</v>
      </c>
      <c r="D107" s="43" t="str">
        <f ca="1">Sk.Q!$E$11</f>
        <v>53 CP VARY - Šimek Petr</v>
      </c>
      <c r="E107" s="162">
        <v>8</v>
      </c>
      <c r="F107" s="162">
        <v>13</v>
      </c>
      <c r="G107" s="366">
        <f ca="1">INDIRECT(ADDRESS(5,A103,1,1,"Hřiště"))</f>
        <v>25</v>
      </c>
      <c r="H107" s="16"/>
      <c r="K107" s="80">
        <f ca="1">IF(TRIM(D107)="-",1,IF(AND(E107="",F107=""),0,IF(N(E107)&gt;N(F107),1,2)))</f>
        <v>2</v>
      </c>
    </row>
    <row r="108" spans="1:11" ht="20.25" thickBot="1">
      <c r="A108" s="56" t="s">
        <v>48</v>
      </c>
      <c r="B108" s="45" t="str">
        <f ca="1">Sk.Q!$B$12</f>
        <v>17 PC Sokol Lipník - Gorroňo López Blanka</v>
      </c>
      <c r="C108" s="44" t="s">
        <v>117</v>
      </c>
      <c r="D108" s="45" t="str">
        <f ca="1">Sk.Q!$E$12</f>
        <v>53 CP VARY - Šimek Petr</v>
      </c>
      <c r="E108" s="163">
        <v>9</v>
      </c>
      <c r="F108" s="163">
        <v>13</v>
      </c>
      <c r="G108" s="367">
        <f ca="1">INDIRECT(ADDRESS(4,A103,1,1,"Hřiště"))</f>
        <v>24</v>
      </c>
      <c r="K108" s="80">
        <f ca="1">IF(TRIM(D108)="-",1,IF(AND(E108="",F108=""),0,IF(N(E108)&gt;N(F108),1,2)))</f>
        <v>2</v>
      </c>
    </row>
    <row r="109" spans="1:11" ht="23.25" thickBot="1">
      <c r="A109" s="52">
        <v>18</v>
      </c>
      <c r="B109" s="52"/>
      <c r="C109" s="57" t="s">
        <v>279</v>
      </c>
      <c r="D109" s="52"/>
      <c r="E109" s="249"/>
      <c r="F109" s="249"/>
      <c r="G109" s="53"/>
      <c r="H109" s="16"/>
    </row>
    <row r="110" spans="1:11" ht="19.5">
      <c r="A110" s="54" t="s">
        <v>114</v>
      </c>
      <c r="B110" s="41" t="str">
        <f ca="1">Sk.R!$B$8</f>
        <v>18 PCP Lipník - Proroková Dana</v>
      </c>
      <c r="C110" s="42" t="s">
        <v>117</v>
      </c>
      <c r="D110" s="41" t="str">
        <f ca="1">Sk.R!$E$8</f>
        <v>55 PCP Lipník - Moucha Luboš</v>
      </c>
      <c r="E110" s="161">
        <v>4</v>
      </c>
      <c r="F110" s="161">
        <v>13</v>
      </c>
      <c r="G110" s="378">
        <f ca="1">INDIRECT(ADDRESS(4,A109,1,1,"Hřiště"))</f>
        <v>26</v>
      </c>
      <c r="H110" s="16"/>
      <c r="I110">
        <v>18</v>
      </c>
      <c r="J110">
        <f>ROW()</f>
        <v>110</v>
      </c>
      <c r="K110" s="80">
        <f ca="1">IF(TRIM(D110)="-",1,IF(AND(E110="",F110=""),0,IF(N(E110)&gt;N(F110),1,2)))</f>
        <v>2</v>
      </c>
    </row>
    <row r="111" spans="1:11" ht="19.5">
      <c r="A111" s="55" t="s">
        <v>115</v>
      </c>
      <c r="B111" s="43" t="str">
        <f ca="1">Sk.R!$B$9</f>
        <v>19 PC Sokol Lipník - Chalupa Jiří</v>
      </c>
      <c r="C111" s="44" t="s">
        <v>117</v>
      </c>
      <c r="D111" s="43" t="str">
        <f ca="1">Sk.R!$E$9</f>
        <v>54 PCP Lipník - Doubrava Antonín</v>
      </c>
      <c r="E111" s="162">
        <v>5</v>
      </c>
      <c r="F111" s="162">
        <v>13</v>
      </c>
      <c r="G111" s="366">
        <f ca="1">INDIRECT(ADDRESS(5,A109,1,1,"Hřiště"))</f>
        <v>27</v>
      </c>
      <c r="H111" s="16"/>
      <c r="K111" s="80">
        <f ca="1">IF(TRIM(D111)="-",1,IF(AND(E111="",F111=""),0,IF(N(E111)&gt;N(F111),1,2)))</f>
        <v>2</v>
      </c>
    </row>
    <row r="112" spans="1:11" ht="19.5">
      <c r="A112" s="55" t="s">
        <v>46</v>
      </c>
      <c r="B112" s="43" t="str">
        <f ca="1">Sk.R!$B$10</f>
        <v>55 PCP Lipník - Moucha Luboš</v>
      </c>
      <c r="C112" s="44" t="s">
        <v>117</v>
      </c>
      <c r="D112" s="43" t="str">
        <f ca="1">Sk.R!$E$10</f>
        <v>54 PCP Lipník - Doubrava Antonín</v>
      </c>
      <c r="E112" s="162">
        <v>7</v>
      </c>
      <c r="F112" s="162">
        <v>13</v>
      </c>
      <c r="G112" s="366">
        <f ca="1">INDIRECT(ADDRESS(4,A109,1,1,"Hřiště"))</f>
        <v>26</v>
      </c>
      <c r="H112" s="16"/>
      <c r="K112" s="80">
        <f ca="1">IF(TRIM(D112)="-",1,IF(AND(E112="",F112=""),0,IF(N(E112)&gt;N(F112),1,2)))</f>
        <v>2</v>
      </c>
    </row>
    <row r="113" spans="1:11" ht="19.5">
      <c r="A113" s="55" t="s">
        <v>47</v>
      </c>
      <c r="B113" s="43" t="str">
        <f ca="1">Sk.R!$B$11</f>
        <v>18 PCP Lipník - Proroková Dana</v>
      </c>
      <c r="C113" s="44" t="s">
        <v>117</v>
      </c>
      <c r="D113" s="43" t="str">
        <f ca="1">Sk.R!$E$11</f>
        <v>19 PC Sokol Lipník - Chalupa Jiří</v>
      </c>
      <c r="E113" s="162">
        <v>6</v>
      </c>
      <c r="F113" s="162">
        <v>13</v>
      </c>
      <c r="G113" s="366">
        <f ca="1">INDIRECT(ADDRESS(5,A109,1,1,"Hřiště"))</f>
        <v>27</v>
      </c>
      <c r="H113" s="16"/>
      <c r="K113" s="80">
        <f ca="1">IF(TRIM(D113)="-",1,IF(AND(E113="",F113=""),0,IF(N(E113)&gt;N(F113),1,2)))</f>
        <v>2</v>
      </c>
    </row>
    <row r="114" spans="1:11" ht="20.25" thickBot="1">
      <c r="A114" s="56" t="s">
        <v>48</v>
      </c>
      <c r="B114" s="45" t="str">
        <f ca="1">Sk.R!$B$12</f>
        <v>55 PCP Lipník - Moucha Luboš</v>
      </c>
      <c r="C114" s="44" t="s">
        <v>117</v>
      </c>
      <c r="D114" s="45" t="str">
        <f ca="1">Sk.R!$E$12</f>
        <v>19 PC Sokol Lipník - Chalupa Jiří</v>
      </c>
      <c r="E114" s="163">
        <v>13</v>
      </c>
      <c r="F114" s="163">
        <v>10</v>
      </c>
      <c r="G114" s="367">
        <f ca="1">INDIRECT(ADDRESS(4,A109,1,1,"Hřiště"))</f>
        <v>26</v>
      </c>
      <c r="K114" s="80">
        <f ca="1">IF(TRIM(D114)="-",1,IF(AND(E114="",F114=""),0,IF(N(E114)&gt;N(F114),1,2)))</f>
        <v>1</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PC Sokol Lipník - Vavrovič Petr ml.</v>
      </c>
      <c r="C3" t="str">
        <f>Sk.A!$C$14</f>
        <v>A1</v>
      </c>
      <c r="D3" t="str">
        <f ca="1">Sk.A!$B$14</f>
        <v>1 PC Sokol Lipník - Vavrovič Petr ml.</v>
      </c>
    </row>
    <row r="4" spans="1:4">
      <c r="A4" t="str">
        <f t="shared" ca="1" si="0"/>
        <v>A2</v>
      </c>
      <c r="B4" t="str">
        <f t="shared" ca="1" si="1"/>
        <v>37 PEK Stolín - Mallat Oldřich</v>
      </c>
      <c r="C4" t="str">
        <f>Sk.A!$C$15</f>
        <v>A2</v>
      </c>
      <c r="D4" t="str">
        <f ca="1">Sk.A!$B$15</f>
        <v>37 PEK Stolín - Mallat Oldřich</v>
      </c>
    </row>
    <row r="5" spans="1:4">
      <c r="A5" t="str">
        <f t="shared" ca="1" si="0"/>
        <v>A3</v>
      </c>
      <c r="B5" t="str">
        <f t="shared" ca="1" si="1"/>
        <v>36 SK Sahara Vědomice - Červenková Andrea</v>
      </c>
      <c r="C5" t="str">
        <f>Sk.A!$C$16</f>
        <v>A3</v>
      </c>
      <c r="D5" t="str">
        <f ca="1">Sk.A!$B$16</f>
        <v>36 SK Sahara Vědomice - Červenková Andrea</v>
      </c>
    </row>
    <row r="6" spans="1:4">
      <c r="A6" t="str">
        <f t="shared" ca="1" si="0"/>
        <v/>
      </c>
      <c r="B6" t="str">
        <f t="shared" ca="1" si="1"/>
        <v/>
      </c>
      <c r="C6" t="str">
        <f>Sk.A!$C$17</f>
        <v>A4</v>
      </c>
      <c r="D6" t="str">
        <f ca="1">Sk.A!$B$17</f>
        <v xml:space="preserve"> - </v>
      </c>
    </row>
    <row r="7" spans="1:4">
      <c r="A7" t="str">
        <f t="shared" ca="1" si="0"/>
        <v>B1</v>
      </c>
      <c r="B7" t="str">
        <f t="shared" ca="1" si="1"/>
        <v>2 SK Sahara Vědomice - Demčík Milan St.</v>
      </c>
      <c r="C7" t="str">
        <f>Sk.B!$C$14</f>
        <v>B1</v>
      </c>
      <c r="D7" t="str">
        <f ca="1">Sk.B!$B$14</f>
        <v>2 SK Sahara Vědomice - Demčík Milan St.</v>
      </c>
    </row>
    <row r="8" spans="1:4">
      <c r="A8" t="str">
        <f t="shared" ca="1" si="0"/>
        <v>B2</v>
      </c>
      <c r="B8" t="str">
        <f t="shared" ca="1" si="1"/>
        <v>35 SKP Kulová osma - Slapnička Václav</v>
      </c>
      <c r="C8" t="str">
        <f>Sk.B!$C$15</f>
        <v>B2</v>
      </c>
      <c r="D8" t="str">
        <f ca="1">Sk.B!$B$15</f>
        <v>35 SKP Kulová osma - Slapnička Václav</v>
      </c>
    </row>
    <row r="9" spans="1:4">
      <c r="A9" t="str">
        <f t="shared" ca="1" si="0"/>
        <v>B3</v>
      </c>
      <c r="B9" t="str">
        <f t="shared" ca="1" si="1"/>
        <v>38 Sokol Kostomlaty - Hercoková Milena</v>
      </c>
      <c r="C9" t="str">
        <f>Sk.B!$C$16</f>
        <v>B3</v>
      </c>
      <c r="D9" t="str">
        <f ca="1">Sk.B!$B$16</f>
        <v>38 Sokol Kostomlaty - Hercoková Milena</v>
      </c>
    </row>
    <row r="10" spans="1:4">
      <c r="A10" t="str">
        <f t="shared" ca="1" si="0"/>
        <v/>
      </c>
      <c r="B10" t="str">
        <f t="shared" ca="1" si="1"/>
        <v/>
      </c>
      <c r="C10" t="str">
        <f>Sk.B!$C$17</f>
        <v>B4</v>
      </c>
      <c r="D10" t="str">
        <f ca="1">Sk.B!$B$17</f>
        <v xml:space="preserve"> - </v>
      </c>
    </row>
    <row r="11" spans="1:4">
      <c r="A11" t="str">
        <f t="shared" ca="1" si="0"/>
        <v>C1</v>
      </c>
      <c r="B11" t="str">
        <f t="shared" ca="1" si="1"/>
        <v>34 PK Osika Plzeň - Špitálský Milan</v>
      </c>
      <c r="C11" t="str">
        <f>Sk.C!$C$14</f>
        <v>C1</v>
      </c>
      <c r="D11" t="str">
        <f ca="1">Sk.C!$B$14</f>
        <v>34 PK Osika Plzeň - Špitálský Milan</v>
      </c>
    </row>
    <row r="12" spans="1:4">
      <c r="A12" t="str">
        <f t="shared" ca="1" si="0"/>
        <v>C2</v>
      </c>
      <c r="B12" t="str">
        <f t="shared" ca="1" si="1"/>
        <v>3 PC Sokol Lipník - Fafek Petr</v>
      </c>
      <c r="C12" t="str">
        <f>Sk.C!$C$15</f>
        <v>C2</v>
      </c>
      <c r="D12" t="str">
        <f ca="1">Sk.C!$B$15</f>
        <v>3 PC Sokol Lipník - Fafek Petr</v>
      </c>
    </row>
    <row r="13" spans="1:4">
      <c r="A13" t="str">
        <f t="shared" ca="1" si="0"/>
        <v>C3</v>
      </c>
      <c r="B13" t="str">
        <f t="shared" ca="1" si="1"/>
        <v>39 SK Sahara Vědomice - Hocková Kateřina</v>
      </c>
      <c r="C13" t="str">
        <f>Sk.C!$C$16</f>
        <v>C3</v>
      </c>
      <c r="D13" t="str">
        <f ca="1">Sk.C!$B$16</f>
        <v>39 SK Sahara Vědomice - Hocková Kateřina</v>
      </c>
    </row>
    <row r="14" spans="1:4">
      <c r="A14" t="str">
        <f t="shared" ca="1" si="0"/>
        <v/>
      </c>
      <c r="B14" t="str">
        <f t="shared" ca="1" si="1"/>
        <v/>
      </c>
      <c r="C14" t="str">
        <f>Sk.C!$C$17</f>
        <v>C4</v>
      </c>
      <c r="D14" t="str">
        <f ca="1">Sk.C!$B$17</f>
        <v xml:space="preserve"> - </v>
      </c>
    </row>
    <row r="15" spans="1:4">
      <c r="A15" t="str">
        <f t="shared" ca="1" si="0"/>
        <v>D1</v>
      </c>
      <c r="B15" t="str">
        <f t="shared" ca="1" si="1"/>
        <v>4 PC Kolová - Kauca Jindřich</v>
      </c>
      <c r="C15" t="str">
        <f>Sk.D!$C$14</f>
        <v>D1</v>
      </c>
      <c r="D15" t="str">
        <f ca="1">Sk.D!$B$14</f>
        <v>4 PC Kolová - Kauca Jindřich</v>
      </c>
    </row>
    <row r="16" spans="1:4">
      <c r="A16" t="str">
        <f t="shared" ca="1" si="0"/>
        <v>D2</v>
      </c>
      <c r="B16" t="str">
        <f t="shared" ca="1" si="1"/>
        <v>33 PEK Stolín - Hájková Iveta</v>
      </c>
      <c r="C16" t="str">
        <f>Sk.D!$C$15</f>
        <v>D2</v>
      </c>
      <c r="D16" t="str">
        <f ca="1">Sk.D!$B$15</f>
        <v>33 PEK Stolín - Hájková Iveta</v>
      </c>
    </row>
    <row r="17" spans="1:4">
      <c r="A17" t="str">
        <f t="shared" ca="1" si="0"/>
        <v>D3</v>
      </c>
      <c r="B17" t="str">
        <f t="shared" ca="1" si="1"/>
        <v>40 Club Rodamiento - Pinkasová Marie</v>
      </c>
      <c r="C17" t="str">
        <f>Sk.D!$C$16</f>
        <v>D3</v>
      </c>
      <c r="D17" t="str">
        <f ca="1">Sk.D!$B$16</f>
        <v>40 Club Rodamiento - Pinkasová Marie</v>
      </c>
    </row>
    <row r="18" spans="1:4">
      <c r="A18" t="str">
        <f t="shared" ca="1" si="0"/>
        <v/>
      </c>
      <c r="B18" t="str">
        <f t="shared" ca="1" si="1"/>
        <v/>
      </c>
      <c r="C18" t="str">
        <f>Sk.D!$C$17</f>
        <v>D4</v>
      </c>
      <c r="D18" t="str">
        <f ca="1">Sk.D!$B$17</f>
        <v xml:space="preserve"> - </v>
      </c>
    </row>
    <row r="19" spans="1:4">
      <c r="A19" t="str">
        <f t="shared" ca="1" si="0"/>
        <v>E1</v>
      </c>
      <c r="B19" t="str">
        <f ca="1">IF(TYPE(D19)&gt;4," - ",IF(OR(TRIM(D19)="",TRIM(D19)="-"),"",D19))</f>
        <v>32 PK Osika Plzeň - Radoušová Jana</v>
      </c>
      <c r="C19" t="str">
        <f>Sk.E!$C$14</f>
        <v>E1</v>
      </c>
      <c r="D19" t="str">
        <f ca="1">Sk.E!$B$14</f>
        <v>32 PK Osika Plzeň - Radoušová Jana</v>
      </c>
    </row>
    <row r="20" spans="1:4">
      <c r="A20" t="str">
        <f t="shared" ca="1" si="0"/>
        <v>E2</v>
      </c>
      <c r="B20" t="str">
        <f t="shared" ref="B20:B87" ca="1" si="2">IF(TYPE(D20)&gt;4," - ",IF(OR(TRIM(D20)="",TRIM(D20)="-"),"",D20))</f>
        <v>5 CdP Loděnice - Marhoul Jan</v>
      </c>
      <c r="C20" t="str">
        <f>Sk.E!$C$15</f>
        <v>E2</v>
      </c>
      <c r="D20" t="str">
        <f ca="1">Sk.E!$B$15</f>
        <v>5 CdP Loděnice - Marhoul Jan</v>
      </c>
    </row>
    <row r="21" spans="1:4">
      <c r="A21" t="str">
        <f t="shared" ca="1" si="0"/>
        <v>E3</v>
      </c>
      <c r="B21" t="str">
        <f t="shared" ca="1" si="2"/>
        <v>41 C.T.P. Club Ořech - Leiský Leander</v>
      </c>
      <c r="C21" t="str">
        <f>Sk.E!$C$16</f>
        <v>E3</v>
      </c>
      <c r="D21" t="str">
        <f ca="1">Sk.E!$B$16</f>
        <v>41 C.T.P. Club Ořech - Leiský Leander</v>
      </c>
    </row>
    <row r="22" spans="1:4">
      <c r="A22" t="str">
        <f t="shared" ca="1" si="0"/>
        <v/>
      </c>
      <c r="B22" t="str">
        <f t="shared" ca="1" si="2"/>
        <v/>
      </c>
      <c r="C22" t="str">
        <f>Sk.E!$C$17</f>
        <v>E4</v>
      </c>
      <c r="D22" t="str">
        <f ca="1">Sk.E!$B$17</f>
        <v xml:space="preserve"> - </v>
      </c>
    </row>
    <row r="23" spans="1:4">
      <c r="A23" t="str">
        <f t="shared" ca="1" si="0"/>
        <v>F1</v>
      </c>
      <c r="B23" t="str">
        <f t="shared" ca="1" si="2"/>
        <v>6 PC Sokol Lipník - Froňková Blanka</v>
      </c>
      <c r="C23" t="str">
        <f>Sk.F!$C$14</f>
        <v>F1</v>
      </c>
      <c r="D23" t="str">
        <f ca="1">Sk.F!$B$14</f>
        <v>6 PC Sokol Lipník - Froňková Blanka</v>
      </c>
    </row>
    <row r="24" spans="1:4">
      <c r="A24" t="str">
        <f t="shared" ca="1" si="0"/>
        <v>F2</v>
      </c>
      <c r="B24" t="str">
        <f t="shared" ca="1" si="2"/>
        <v>42 SK Španielka Řepy - Pastorek Jaroslav</v>
      </c>
      <c r="C24" t="str">
        <f>Sk.F!$C$15</f>
        <v>F2</v>
      </c>
      <c r="D24" t="str">
        <f ca="1">Sk.F!$B$15</f>
        <v>42 SK Španielka Řepy - Pastorek Jaroslav</v>
      </c>
    </row>
    <row r="25" spans="1:4">
      <c r="A25" t="str">
        <f t="shared" ca="1" si="0"/>
        <v>F3</v>
      </c>
      <c r="B25" t="str">
        <f t="shared" ca="1" si="2"/>
        <v>31 SKP Kulová osma - Lhoták Jaroslav</v>
      </c>
      <c r="C25" t="str">
        <f>Sk.F!$C$16</f>
        <v>F3</v>
      </c>
      <c r="D25" t="str">
        <f ca="1">Sk.F!$B$16</f>
        <v>31 SKP Kulová osma - Lhoták Jaroslav</v>
      </c>
    </row>
    <row r="26" spans="1:4">
      <c r="A26" t="str">
        <f t="shared" ca="1" si="0"/>
        <v/>
      </c>
      <c r="B26" t="str">
        <f t="shared" ca="1" si="2"/>
        <v/>
      </c>
      <c r="C26" t="str">
        <f>Sk.F!$C$17</f>
        <v>F4</v>
      </c>
      <c r="D26" t="str">
        <f ca="1">Sk.F!$B$17</f>
        <v xml:space="preserve"> - </v>
      </c>
    </row>
    <row r="27" spans="1:4">
      <c r="A27" t="str">
        <f t="shared" ca="1" si="0"/>
        <v>G1</v>
      </c>
      <c r="B27" t="str">
        <f t="shared" ca="1" si="2"/>
        <v>7 CdP Loděnice - Mrázek Petr</v>
      </c>
      <c r="C27" t="str">
        <f>Sk.G!$C$14</f>
        <v>G1</v>
      </c>
      <c r="D27" t="str">
        <f ca="1">Sk.G!$B$14</f>
        <v>7 CdP Loděnice - Mrázek Petr</v>
      </c>
    </row>
    <row r="28" spans="1:4">
      <c r="A28" t="str">
        <f t="shared" ca="1" si="0"/>
        <v>G2</v>
      </c>
      <c r="B28" t="str">
        <f t="shared" ca="1" si="2"/>
        <v>43 SK Španielka Řepy - Řezník Alois</v>
      </c>
      <c r="C28" t="str">
        <f>Sk.G!$C$15</f>
        <v>G2</v>
      </c>
      <c r="D28" t="str">
        <f ca="1">Sk.G!$B$15</f>
        <v>43 SK Španielka Řepy - Řezník Alois</v>
      </c>
    </row>
    <row r="29" spans="1:4">
      <c r="A29" t="str">
        <f t="shared" ca="1" si="0"/>
        <v>G3</v>
      </c>
      <c r="B29" t="str">
        <f t="shared" ca="1" si="2"/>
        <v>30 SK Španielka Řepy - Holoubek Pavel</v>
      </c>
      <c r="C29" t="str">
        <f>Sk.G!$C$16</f>
        <v>G3</v>
      </c>
      <c r="D29" t="str">
        <f ca="1">Sk.G!$B$16</f>
        <v>30 SK Španielka Řepy - Holoubek Pavel</v>
      </c>
    </row>
    <row r="30" spans="1:4">
      <c r="A30" t="str">
        <f t="shared" ca="1" si="0"/>
        <v/>
      </c>
      <c r="B30" t="str">
        <f t="shared" ca="1" si="2"/>
        <v/>
      </c>
      <c r="C30" t="str">
        <f>Sk.G!$C$17</f>
        <v>G4</v>
      </c>
      <c r="D30" t="str">
        <f ca="1">Sk.G!$B$17</f>
        <v xml:space="preserve"> - </v>
      </c>
    </row>
    <row r="31" spans="1:4">
      <c r="A31" t="str">
        <f t="shared" ca="1" si="0"/>
        <v>H1</v>
      </c>
      <c r="B31" t="str">
        <f t="shared" ca="1" si="2"/>
        <v>44 Spolek Park Grébovka - Nepomucký Jaroslav</v>
      </c>
      <c r="C31" t="str">
        <f>Sk.H!$C$14</f>
        <v>H1</v>
      </c>
      <c r="D31" t="str">
        <f ca="1">Sk.H!$B$14</f>
        <v>44 Spolek Park Grébovka - Nepomucký Jaroslav</v>
      </c>
    </row>
    <row r="32" spans="1:4">
      <c r="A32" t="str">
        <f t="shared" ca="1" si="0"/>
        <v>H2</v>
      </c>
      <c r="B32" t="str">
        <f t="shared" ca="1" si="2"/>
        <v>8 PLUK Jablonec - Lukáš Vojtěch</v>
      </c>
      <c r="C32" t="str">
        <f>Sk.H!$C$15</f>
        <v>H2</v>
      </c>
      <c r="D32" t="str">
        <f ca="1">Sk.H!$B$15</f>
        <v>8 PLUK Jablonec - Lukáš Vojtěch</v>
      </c>
    </row>
    <row r="33" spans="1:4">
      <c r="A33" t="str">
        <f t="shared" ca="1" si="0"/>
        <v>H3</v>
      </c>
      <c r="B33" t="str">
        <f t="shared" ca="1" si="2"/>
        <v>29 SK Sahara Vědomice - Gröschl Zdeněk</v>
      </c>
      <c r="C33" t="str">
        <f>Sk.H!$C$16</f>
        <v>H3</v>
      </c>
      <c r="D33" t="str">
        <f ca="1">Sk.H!$B$16</f>
        <v>29 SK Sahara Vědomice - Gröschl Zdeněk</v>
      </c>
    </row>
    <row r="34" spans="1:4">
      <c r="A34" t="str">
        <f t="shared" ca="1" si="0"/>
        <v/>
      </c>
      <c r="B34" t="str">
        <f t="shared" ca="1" si="2"/>
        <v/>
      </c>
      <c r="C34" t="str">
        <f>Sk.H!$C$17</f>
        <v>H4</v>
      </c>
      <c r="D34" t="str">
        <f ca="1">Sk.H!$B$17</f>
        <v xml:space="preserve"> - </v>
      </c>
    </row>
    <row r="35" spans="1:4">
      <c r="A35" t="str">
        <f t="shared" ca="1" si="0"/>
        <v>I1</v>
      </c>
      <c r="B35" t="str">
        <f t="shared" ca="1" si="2"/>
        <v>28 UBU Únětice - Kot Pavel</v>
      </c>
      <c r="C35" t="str">
        <f>Sk.I!$C$14</f>
        <v>I1</v>
      </c>
      <c r="D35" t="str">
        <f ca="1">Sk.I!$B$14</f>
        <v>28 UBU Únětice - Kot Pavel</v>
      </c>
    </row>
    <row r="36" spans="1:4">
      <c r="A36" t="str">
        <f t="shared" ca="1" si="0"/>
        <v>I2</v>
      </c>
      <c r="B36" t="str">
        <f t="shared" ca="1" si="2"/>
        <v>45 Spolek Park Grébovka - Kremlík Miroslav</v>
      </c>
      <c r="C36" t="str">
        <f>Sk.I!$C$15</f>
        <v>I2</v>
      </c>
      <c r="D36" t="str">
        <f ca="1">Sk.I!$B$15</f>
        <v>45 Spolek Park Grébovka - Kremlík Miroslav</v>
      </c>
    </row>
    <row r="37" spans="1:4">
      <c r="A37" t="str">
        <f t="shared" ca="1" si="0"/>
        <v>I3</v>
      </c>
      <c r="B37" t="str">
        <f t="shared" ca="1" si="2"/>
        <v>9 SK Sahara Vědomice - Mikyška Milan</v>
      </c>
      <c r="C37" t="str">
        <f>Sk.I!$C$16</f>
        <v>I3</v>
      </c>
      <c r="D37" t="str">
        <f ca="1">Sk.I!$B$16</f>
        <v>9 SK Sahara Vědomice - Mikyška Milan</v>
      </c>
    </row>
    <row r="38" spans="1:4">
      <c r="A38" t="str">
        <f t="shared" ca="1" si="0"/>
        <v/>
      </c>
      <c r="B38" t="str">
        <f t="shared" ca="1" si="2"/>
        <v/>
      </c>
      <c r="C38" t="str">
        <f>Sk.I!$C$17</f>
        <v>I4</v>
      </c>
      <c r="D38" t="str">
        <f ca="1">Sk.I!$B$17</f>
        <v xml:space="preserve"> - </v>
      </c>
    </row>
    <row r="39" spans="1:4">
      <c r="A39" t="str">
        <f t="shared" ca="1" si="0"/>
        <v>J1</v>
      </c>
      <c r="B39" t="str">
        <f t="shared" ca="1" si="2"/>
        <v>10 SKP Kulová osma - Krejčín Leoš</v>
      </c>
      <c r="C39" t="str">
        <f>Sk.J!$C$14</f>
        <v>J1</v>
      </c>
      <c r="D39" t="str">
        <f ca="1">Sk.J!$B$14</f>
        <v>10 SKP Kulová osma - Krejčín Leoš</v>
      </c>
    </row>
    <row r="40" spans="1:4">
      <c r="A40" t="str">
        <f t="shared" ca="1" si="0"/>
        <v>J2</v>
      </c>
      <c r="B40" t="str">
        <f t="shared" ca="1" si="2"/>
        <v>27 PK Osika Plzeň - Mráz Václav</v>
      </c>
      <c r="C40" t="str">
        <f>Sk.J!$C$15</f>
        <v>J2</v>
      </c>
      <c r="D40" t="str">
        <f ca="1">Sk.J!$B$15</f>
        <v>27 PK Osika Plzeň - Mráz Václav</v>
      </c>
    </row>
    <row r="41" spans="1:4">
      <c r="A41" t="str">
        <f t="shared" ca="1" si="0"/>
        <v>J3</v>
      </c>
      <c r="B41" t="str">
        <f t="shared" ca="1" si="2"/>
        <v>46 CdP Loděnice - Zderadička Jiří</v>
      </c>
      <c r="C41" t="str">
        <f>Sk.J!$C$16</f>
        <v>J3</v>
      </c>
      <c r="D41" t="str">
        <f ca="1">Sk.J!$B$16</f>
        <v>46 CdP Loděnice - Zderadička Jiří</v>
      </c>
    </row>
    <row r="42" spans="1:4">
      <c r="A42" t="str">
        <f t="shared" ca="1" si="0"/>
        <v>J4</v>
      </c>
      <c r="B42" t="str">
        <f t="shared" ca="1" si="2"/>
        <v>63 SK Španielka Řepy - Novotná Marie</v>
      </c>
      <c r="C42" t="str">
        <f>Sk.J!$C$17</f>
        <v>J4</v>
      </c>
      <c r="D42" t="str">
        <f ca="1">Sk.J!$B$17</f>
        <v>63 SK Španielka Řepy - Novotná Marie</v>
      </c>
    </row>
    <row r="43" spans="1:4">
      <c r="A43" t="str">
        <f t="shared" ca="1" si="0"/>
        <v>K1</v>
      </c>
      <c r="B43" t="str">
        <f t="shared" ca="1" si="2"/>
        <v>62 CdP Loděnice - Pospíšilová Šárka</v>
      </c>
      <c r="C43" t="str">
        <f>Sk.K!$C$14</f>
        <v>K1</v>
      </c>
      <c r="D43" t="str">
        <f ca="1">Sk.K!$B$14</f>
        <v>62 CdP Loděnice - Pospíšilová Šárka</v>
      </c>
    </row>
    <row r="44" spans="1:4">
      <c r="A44" t="str">
        <f t="shared" ca="1" si="0"/>
        <v>K2</v>
      </c>
      <c r="B44" t="str">
        <f t="shared" ca="1" si="2"/>
        <v>47 CdP Loděnice - Paták Jan</v>
      </c>
      <c r="C44" t="str">
        <f>Sk.K!$C$15</f>
        <v>K2</v>
      </c>
      <c r="D44" t="str">
        <f ca="1">Sk.K!$B$15</f>
        <v>47 CdP Loděnice - Paták Jan</v>
      </c>
    </row>
    <row r="45" spans="1:4">
      <c r="A45" t="str">
        <f t="shared" ca="1" si="0"/>
        <v>K3</v>
      </c>
      <c r="B45" t="str">
        <f t="shared" ca="1" si="2"/>
        <v>26 CdP Loděnice - Nagy Radim</v>
      </c>
      <c r="C45" t="str">
        <f>Sk.K!$C$16</f>
        <v>K3</v>
      </c>
      <c r="D45" t="str">
        <f ca="1">Sk.K!$B$16</f>
        <v>26 CdP Loděnice - Nagy Radim</v>
      </c>
    </row>
    <row r="46" spans="1:4">
      <c r="A46" t="str">
        <f t="shared" ca="1" si="0"/>
        <v>K4</v>
      </c>
      <c r="B46" t="str">
        <f t="shared" ca="1" si="2"/>
        <v>11 Sokol Kostomlaty - Škorničková Jaroslava</v>
      </c>
      <c r="C46" t="str">
        <f>Sk.K!$C$17</f>
        <v>K4</v>
      </c>
      <c r="D46" t="str">
        <f ca="1">Sk.K!$B$17</f>
        <v>11 Sokol Kostomlaty - Škorničková Jaroslava</v>
      </c>
    </row>
    <row r="47" spans="1:4">
      <c r="A47" t="str">
        <f t="shared" ca="1" si="0"/>
        <v>L1</v>
      </c>
      <c r="B47" t="str">
        <f t="shared" ca="1" si="2"/>
        <v>12 SKP Kulová osma - Chmelař Ivo</v>
      </c>
      <c r="C47" t="str">
        <f>Sk.L!$C$14</f>
        <v>L1</v>
      </c>
      <c r="D47" t="str">
        <f ca="1">Sk.L!$B$14</f>
        <v>12 SKP Kulová osma - Chmelař Ivo</v>
      </c>
    </row>
    <row r="48" spans="1:4">
      <c r="A48" t="str">
        <f t="shared" ca="1" si="0"/>
        <v>L2</v>
      </c>
      <c r="B48" t="str">
        <f t="shared" ca="1" si="2"/>
        <v>25 PC Sokol Lipník - Mazúr Pavel</v>
      </c>
      <c r="C48" t="str">
        <f>Sk.L!$C$15</f>
        <v>L2</v>
      </c>
      <c r="D48" t="str">
        <f ca="1">Sk.L!$B$15</f>
        <v>25 PC Sokol Lipník - Mazúr Pavel</v>
      </c>
    </row>
    <row r="49" spans="1:4">
      <c r="A49" t="str">
        <f t="shared" ca="1" si="0"/>
        <v>L3</v>
      </c>
      <c r="B49" t="str">
        <f t="shared" ca="1" si="2"/>
        <v>48 PCP Lipník - Reinbergrová Václava</v>
      </c>
      <c r="C49" t="str">
        <f>Sk.L!$C$16</f>
        <v>L3</v>
      </c>
      <c r="D49" t="str">
        <f ca="1">Sk.L!$B$16</f>
        <v>48 PCP Lipník - Reinbergrová Václava</v>
      </c>
    </row>
    <row r="50" spans="1:4">
      <c r="A50" t="str">
        <f t="shared" ca="1" si="0"/>
        <v>L4</v>
      </c>
      <c r="B50" t="str">
        <f t="shared" ca="1" si="2"/>
        <v>61 SK Španielka Řepy - Prajer Milan</v>
      </c>
      <c r="C50" t="str">
        <f>Sk.L!$C$17</f>
        <v>L4</v>
      </c>
      <c r="D50" t="str">
        <f ca="1">Sk.L!$B$17</f>
        <v>61 SK Španielka Řepy - Prajer Milan</v>
      </c>
    </row>
    <row r="51" spans="1:4">
      <c r="A51" t="str">
        <f t="shared" ca="1" si="0"/>
        <v>M1</v>
      </c>
      <c r="B51" t="str">
        <f t="shared" ca="1" si="2"/>
        <v>13 PC Kolová - Plucar Petr</v>
      </c>
      <c r="C51" t="str">
        <f>Sk.M!$C$14</f>
        <v>M1</v>
      </c>
      <c r="D51" t="str">
        <f ca="1">Sk.M!$B$14</f>
        <v>13 PC Kolová - Plucar Petr</v>
      </c>
    </row>
    <row r="52" spans="1:4">
      <c r="A52" t="str">
        <f t="shared" ca="1" si="0"/>
        <v>M2</v>
      </c>
      <c r="B52" t="str">
        <f t="shared" ca="1" si="2"/>
        <v>24 PK Osika Plzeň - Jirkovský Tomáš</v>
      </c>
      <c r="C52" t="str">
        <f>Sk.M!$C$15</f>
        <v>M2</v>
      </c>
      <c r="D52" t="str">
        <f ca="1">Sk.M!$B$15</f>
        <v>24 PK Osika Plzeň - Jirkovský Tomáš</v>
      </c>
    </row>
    <row r="53" spans="1:4">
      <c r="A53" t="str">
        <f t="shared" ca="1" si="0"/>
        <v>M3</v>
      </c>
      <c r="B53" t="str">
        <f t="shared" ca="1" si="2"/>
        <v>49 PEK Stolín - Hájková Dorota</v>
      </c>
      <c r="C53" t="str">
        <f>Sk.M!$C$16</f>
        <v>M3</v>
      </c>
      <c r="D53" t="str">
        <f ca="1">Sk.M!$B$16</f>
        <v>49 PEK Stolín - Hájková Dorota</v>
      </c>
    </row>
    <row r="54" spans="1:4">
      <c r="A54" t="str">
        <f t="shared" ca="1" si="0"/>
        <v>M4</v>
      </c>
      <c r="B54" t="str">
        <f t="shared" ca="1" si="2"/>
        <v>60 PK Osika Plzeň - Přibyl Miroslav</v>
      </c>
      <c r="C54" t="str">
        <f>Sk.M!$C$17</f>
        <v>M4</v>
      </c>
      <c r="D54" t="str">
        <f ca="1">Sk.M!$B$17</f>
        <v>60 PK Osika Plzeň - Přibyl Miroslav</v>
      </c>
    </row>
    <row r="55" spans="1:4">
      <c r="A55" t="str">
        <f t="shared" ca="1" si="0"/>
        <v>N1</v>
      </c>
      <c r="B55" t="str">
        <f t="shared" ca="1" si="2"/>
        <v>14 Petank Club Praha - Vorel Jan</v>
      </c>
      <c r="C55" t="str">
        <f>Sk.N!$C$14</f>
        <v>N1</v>
      </c>
      <c r="D55" t="str">
        <f ca="1">Sk.N!$B$14</f>
        <v>14 Petank Club Praha - Vorel Jan</v>
      </c>
    </row>
    <row r="56" spans="1:4">
      <c r="A56" t="str">
        <f t="shared" ca="1" si="0"/>
        <v>N2</v>
      </c>
      <c r="B56" t="str">
        <f t="shared" ca="1" si="2"/>
        <v>23 Club Rodamiento - Sjögren Magda</v>
      </c>
      <c r="C56" t="str">
        <f>Sk.N!$C$15</f>
        <v>N2</v>
      </c>
      <c r="D56" t="str">
        <f ca="1">Sk.N!$B$15</f>
        <v>23 Club Rodamiento - Sjögren Magda</v>
      </c>
    </row>
    <row r="57" spans="1:4">
      <c r="A57" t="str">
        <f t="shared" ca="1" si="0"/>
        <v>N3</v>
      </c>
      <c r="B57" t="str">
        <f t="shared" ca="1" si="2"/>
        <v>50 C.T.P. Club Ořech - Glaser Vladimír</v>
      </c>
      <c r="C57" t="str">
        <f>Sk.N!$C$16</f>
        <v>N3</v>
      </c>
      <c r="D57" t="str">
        <f ca="1">Sk.N!$B$16</f>
        <v>50 C.T.P. Club Ořech - Glaser Vladimír</v>
      </c>
    </row>
    <row r="58" spans="1:4">
      <c r="A58" t="str">
        <f t="shared" ca="1" si="0"/>
        <v>N4</v>
      </c>
      <c r="B58" t="str">
        <f t="shared" ca="1" si="2"/>
        <v>59 CP VARY - Fürst Jiří</v>
      </c>
      <c r="C58" t="str">
        <f>Sk.N!$C$17</f>
        <v>N4</v>
      </c>
      <c r="D58" t="str">
        <f ca="1">Sk.N!$B$17</f>
        <v>59 CP VARY - Fürst Jiří</v>
      </c>
    </row>
    <row r="59" spans="1:4">
      <c r="A59" t="str">
        <f t="shared" ca="1" si="0"/>
        <v>O1</v>
      </c>
      <c r="B59" t="str">
        <f t="shared" ca="1" si="2"/>
        <v>15 Sokol Kostomlaty - Vyoral Hynek</v>
      </c>
      <c r="C59" t="str">
        <f>Sk.O!$C$14</f>
        <v>O1</v>
      </c>
      <c r="D59" t="str">
        <f ca="1">Sk.O!$B$14</f>
        <v>15 Sokol Kostomlaty - Vyoral Hynek</v>
      </c>
    </row>
    <row r="60" spans="1:4">
      <c r="A60" t="str">
        <f t="shared" ca="1" si="0"/>
        <v>O2</v>
      </c>
      <c r="B60" t="str">
        <f t="shared" ca="1" si="2"/>
        <v>22 SKP Kulová osma - Zátka Miloslav</v>
      </c>
      <c r="C60" t="str">
        <f>Sk.O!$C$15</f>
        <v>O2</v>
      </c>
      <c r="D60" t="str">
        <f ca="1">Sk.O!$B$15</f>
        <v>22 SKP Kulová osma - Zátka Miloslav</v>
      </c>
    </row>
    <row r="61" spans="1:4">
      <c r="A61" t="str">
        <f t="shared" ca="1" si="0"/>
        <v>O3</v>
      </c>
      <c r="B61" t="str">
        <f t="shared" ca="1" si="2"/>
        <v>51 SKP Kulová osma - Fára Jindřich</v>
      </c>
      <c r="C61" t="str">
        <f>Sk.O!$C$16</f>
        <v>O3</v>
      </c>
      <c r="D61" t="str">
        <f ca="1">Sk.O!$B$16</f>
        <v>51 SKP Kulová osma - Fára Jindřich</v>
      </c>
    </row>
    <row r="62" spans="1:4">
      <c r="A62" t="str">
        <f t="shared" ca="1" si="0"/>
        <v>O4</v>
      </c>
      <c r="B62" t="str">
        <f t="shared" ca="1" si="2"/>
        <v>58 SKP Kulová osma - Pavýza Milan</v>
      </c>
      <c r="C62" t="str">
        <f>Sk.O!$C$17</f>
        <v>O4</v>
      </c>
      <c r="D62" t="str">
        <f ca="1">Sk.O!$B$17</f>
        <v>58 SKP Kulová osma - Pavýza Milan</v>
      </c>
    </row>
    <row r="63" spans="1:4">
      <c r="A63" t="str">
        <f t="shared" ca="1" si="0"/>
        <v>P1</v>
      </c>
      <c r="B63" t="str">
        <f t="shared" ca="1" si="2"/>
        <v>16 1. KPK Vrchlabí - Mašek Pavel</v>
      </c>
      <c r="C63" t="str">
        <f>Sk.P!$C$14</f>
        <v>P1</v>
      </c>
      <c r="D63" t="str">
        <f ca="1">Sk.P!$B$14</f>
        <v>16 1. KPK Vrchlabí - Mašek Pavel</v>
      </c>
    </row>
    <row r="64" spans="1:4">
      <c r="A64" t="str">
        <f t="shared" ca="1" si="0"/>
        <v>P2</v>
      </c>
      <c r="B64" t="str">
        <f t="shared" ca="1" si="2"/>
        <v>52 CdP Loděnice - Janoš Jiří</v>
      </c>
      <c r="C64" t="str">
        <f>Sk.P!$C$15</f>
        <v>P2</v>
      </c>
      <c r="D64" t="str">
        <f ca="1">Sk.P!$B$15</f>
        <v>52 CdP Loděnice - Janoš Jiří</v>
      </c>
    </row>
    <row r="65" spans="1:4">
      <c r="A65" t="str">
        <f t="shared" ca="1" si="0"/>
        <v>P3</v>
      </c>
      <c r="B65" t="str">
        <f t="shared" ca="1" si="2"/>
        <v>57 Orel Řečkovice - Leistnerová Lucie</v>
      </c>
      <c r="C65" t="str">
        <f>Sk.P!$C$16</f>
        <v>P3</v>
      </c>
      <c r="D65" t="str">
        <f ca="1">Sk.P!$B$16</f>
        <v>57 Orel Řečkovice - Leistnerová Lucie</v>
      </c>
    </row>
    <row r="66" spans="1:4">
      <c r="A66" t="str">
        <f t="shared" ca="1" si="0"/>
        <v>P4</v>
      </c>
      <c r="B66" t="str">
        <f t="shared" ca="1" si="2"/>
        <v>21 Sokol Kostomlaty - Vaníček Rudolf</v>
      </c>
      <c r="C66" t="str">
        <f>Sk.P!$C$17</f>
        <v>P4</v>
      </c>
      <c r="D66" t="str">
        <f ca="1">Sk.P!$B$17</f>
        <v>21 Sokol Kostomlaty - Vaníček Rudolf</v>
      </c>
    </row>
    <row r="67" spans="1:4">
      <c r="A67" t="str">
        <f t="shared" ref="A67:A77" ca="1" si="3">IF(TRIM(D67)="-","",C67)</f>
        <v>Q1</v>
      </c>
      <c r="B67" t="str">
        <f t="shared" ca="1" si="2"/>
        <v>20 Club Rodamiento - Dlouhá Ivana</v>
      </c>
      <c r="C67" t="str">
        <f>Sk.Q!$C$14</f>
        <v>Q1</v>
      </c>
      <c r="D67" t="str">
        <f ca="1">Sk.Q!$B$14</f>
        <v>20 Club Rodamiento - Dlouhá Ivana</v>
      </c>
    </row>
    <row r="68" spans="1:4">
      <c r="A68" t="str">
        <f t="shared" ca="1" si="3"/>
        <v>Q2</v>
      </c>
      <c r="B68" t="str">
        <f t="shared" ca="1" si="2"/>
        <v>53 CP VARY - Šimek Petr</v>
      </c>
      <c r="C68" t="str">
        <f>Sk.Q!$C$15</f>
        <v>Q2</v>
      </c>
      <c r="D68" t="str">
        <f ca="1">Sk.Q!$B$15</f>
        <v>53 CP VARY - Šimek Petr</v>
      </c>
    </row>
    <row r="69" spans="1:4">
      <c r="A69" t="str">
        <f t="shared" ca="1" si="3"/>
        <v>Q3</v>
      </c>
      <c r="B69" t="str">
        <f t="shared" ca="1" si="2"/>
        <v>17 PC Sokol Lipník - Gorroňo López Blanka</v>
      </c>
      <c r="C69" t="str">
        <f>Sk.Q!$C$16</f>
        <v>Q3</v>
      </c>
      <c r="D69" t="str">
        <f ca="1">Sk.Q!$B$16</f>
        <v>17 PC Sokol Lipník - Gorroňo López Blanka</v>
      </c>
    </row>
    <row r="70" spans="1:4">
      <c r="A70" t="str">
        <f t="shared" ca="1" si="3"/>
        <v>Q4</v>
      </c>
      <c r="B70" t="str">
        <f t="shared" ca="1" si="2"/>
        <v>56 SK Španielka Řepy - Szitányiová Mária</v>
      </c>
      <c r="C70" t="str">
        <f>Sk.Q!$C$17</f>
        <v>Q4</v>
      </c>
      <c r="D70" t="str">
        <f ca="1">Sk.Q!$B$17</f>
        <v>56 SK Španielka Řepy - Szitányiová Mária</v>
      </c>
    </row>
    <row r="71" spans="1:4">
      <c r="A71" t="str">
        <f t="shared" ca="1" si="3"/>
        <v>R1</v>
      </c>
      <c r="B71" t="str">
        <f t="shared" ca="1" si="2"/>
        <v>54 PCP Lipník - Doubrava Antonín</v>
      </c>
      <c r="C71" t="str">
        <f>Sk.R!$C$14</f>
        <v>R1</v>
      </c>
      <c r="D71" t="str">
        <f ca="1">Sk.R!$B$14</f>
        <v>54 PCP Lipník - Doubrava Antonín</v>
      </c>
    </row>
    <row r="72" spans="1:4">
      <c r="A72" t="str">
        <f t="shared" ca="1" si="3"/>
        <v>R2</v>
      </c>
      <c r="B72" t="str">
        <f t="shared" ca="1" si="2"/>
        <v>55 PCP Lipník - Moucha Luboš</v>
      </c>
      <c r="C72" t="str">
        <f>Sk.R!$C$15</f>
        <v>R2</v>
      </c>
      <c r="D72" t="str">
        <f ca="1">Sk.R!$B$15</f>
        <v>55 PCP Lipník - Moucha Luboš</v>
      </c>
    </row>
    <row r="73" spans="1:4">
      <c r="A73" t="str">
        <f t="shared" ca="1" si="3"/>
        <v>R3</v>
      </c>
      <c r="B73" t="str">
        <f t="shared" ca="1" si="2"/>
        <v>19 PC Sokol Lipník - Chalupa Jiří</v>
      </c>
      <c r="C73" t="str">
        <f>Sk.R!$C$16</f>
        <v>R3</v>
      </c>
      <c r="D73" t="str">
        <f ca="1">Sk.R!$B$16</f>
        <v>19 PC Sokol Lipník - Chalupa Jiří</v>
      </c>
    </row>
    <row r="74" spans="1:4">
      <c r="A74" t="str">
        <f t="shared" ca="1" si="3"/>
        <v>R4</v>
      </c>
      <c r="B74" t="str">
        <f t="shared" ca="1" si="2"/>
        <v>18 PCP Lipník - Proroková Dana</v>
      </c>
      <c r="C74" t="str">
        <f>Sk.R!$C$17</f>
        <v>R4</v>
      </c>
      <c r="D74" t="str">
        <f ca="1">Sk.R!$B$17</f>
        <v>18 PCP Lipník - Proroková Dana</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18</v>
      </c>
      <c r="F2" s="15">
        <f ca="1">IF(MOD($E$2,2)&gt;0,0,1)</f>
        <v>1</v>
      </c>
      <c r="G2" s="15">
        <f ca="1">E2*2</f>
        <v>36</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PC Sokol Lipník - Vavrovič Petr ml.</v>
      </c>
      <c r="C3" s="63" t="str">
        <f ca="1">IF(E3&gt;$G$2,"",Nasazení!B3)</f>
        <v>A1</v>
      </c>
      <c r="D3" s="62" t="str">
        <f ca="1">IF(TYPE(VLOOKUP(C3,Výsledky_skupin!$A$3:$B$130,2,0))&gt;4," -",VLOOKUP(C3,Výsledky_skupin!$A$3:$B$130,2,0))</f>
        <v>1 PC Sokol Lipník - Vavrovič Petr ml.</v>
      </c>
      <c r="E3" s="2">
        <v>1</v>
      </c>
      <c r="F3">
        <f t="shared" ref="F3:F66" ca="1" si="1">IF(E3&gt;$E$2,IF($F$2&gt;0,IF(MOD(E3,2)=0,-1,1),0),0)</f>
        <v>0</v>
      </c>
      <c r="I3" s="326" t="str">
        <f ca="1">IF(OR(TRIM(N3)="-",TRIM(N3)="")," ",N3)</f>
        <v>15 Sokol Kostomlaty - Vyoral Hynek</v>
      </c>
      <c r="L3" s="326" t="str">
        <f ca="1">VLOOKUP($A3,'KO4'!$G$6:$H$7,2,0)</f>
        <v>3 PC Sokol Lipník - Fafek Petr</v>
      </c>
      <c r="N3" s="326" t="str">
        <f ca="1">VLOOKUP($A3,'KO4'!$K$6:$L$7,2,0)</f>
        <v>15 Sokol Kostomlaty - Vyoral Hynek</v>
      </c>
      <c r="W3" s="326" t="str">
        <f ca="1">VLOOKUP($A3,'KO8'!$G$6:$H$15,2,0)</f>
        <v>3 PC Sokol Lipník - Fafek Petr</v>
      </c>
      <c r="X3" s="319">
        <f ca="1">VLOOKUP($A3,'KO8'!$G$6:$I$15,3,0)</f>
        <v>13</v>
      </c>
      <c r="Y3" s="326" t="str">
        <f ca="1">VLOOKUP($A3,'KO8'!$K$10:$L$11,2,0)</f>
        <v>3 PC Sokol Lipník - Fafek Petr</v>
      </c>
      <c r="Z3" s="319">
        <f ca="1">VLOOKUP($A3,'KO8'!$K$10:$M$11,3,0)</f>
        <v>12</v>
      </c>
      <c r="AA3" s="326" t="str">
        <f ca="1">VLOOKUP($A3,'KO8'!$O$10:$P$11,2,0)</f>
        <v>15 Sokol Kostomlaty - Vyoral Hynek</v>
      </c>
      <c r="AI3" s="326" t="str">
        <f ca="1">VLOOKUP($A3,'KO16'!$G$6:$H$31,2,0)</f>
        <v>3 PC Sokol Lipník - Fafek Petr</v>
      </c>
      <c r="AJ3" s="319">
        <f ca="1">VLOOKUP($A3,'KO16'!$G$6:$I$31,3,0)</f>
        <v>13</v>
      </c>
      <c r="AK3" s="326" t="str">
        <f ca="1">VLOOKUP($A3,'KO16'!$K$10:$L$27,2,0)</f>
        <v>3 PC Sokol Lipník - Fafek Petr</v>
      </c>
      <c r="AL3" s="319">
        <f ca="1">VLOOKUP($A3,'KO16'!$K$10:$M$27,3,0)</f>
        <v>13</v>
      </c>
      <c r="AM3" s="326" t="str">
        <f ca="1">VLOOKUP($A3,'KO16'!$O$18:$P$19,2,0)</f>
        <v>3 PC Sokol Lipník - Fafek Petr</v>
      </c>
      <c r="AN3" s="319">
        <f ca="1">VLOOKUP($A3,'KO16'!$O$18:$Q$19,3,0)</f>
        <v>12</v>
      </c>
      <c r="AO3" s="326" t="str">
        <f ca="1">VLOOKUP($A3,'KO16'!$S$18:$T$19,2,0)</f>
        <v>15 Sokol Kostomlaty - Vyoral Hynek</v>
      </c>
      <c r="AT3" s="326" t="str">
        <f ca="1">VLOOKUP($A3,'KO32'!$G$6:$H$63,2,0)</f>
        <v>3 PC Sokol Lipník - Fafek Petr</v>
      </c>
      <c r="AU3" s="319">
        <f ca="1">VLOOKUP($A3,'KO32'!$G$6:$I$63,3,0)</f>
        <v>0</v>
      </c>
      <c r="AV3" s="326" t="str">
        <f ca="1">VLOOKUP($A3,'KO32'!$K$10:$L$59,2,0)</f>
        <v xml:space="preserve"> </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PC Sokol Lipník - Vavrovič Petr ml.</v>
      </c>
      <c r="BH3" s="319">
        <f ca="1">VLOOKUP($A3,'KO64'!$G$6:$I$127,3,0)</f>
        <v>4</v>
      </c>
      <c r="BI3" s="326" t="str">
        <f ca="1">VLOOKUP($A3,'KO64'!$K$10:$L$123,2,0)</f>
        <v>3 PC Sokol Lipník - Fafek Petr</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SK Sahara Vědomice - Demčík Milan St.</v>
      </c>
      <c r="C4" s="63" t="str">
        <f ca="1">IF(E4&gt;$G$2,"",Nasazení!B4)</f>
        <v>B1</v>
      </c>
      <c r="D4" s="62" t="str">
        <f ca="1">IF(TYPE(VLOOKUP(C4,Výsledky_skupin!$A$3:$B$130,2,0))&gt;4," -",VLOOKUP(C4,Výsledky_skupin!$A$3:$B$130,2,0))</f>
        <v>2 SK Sahara Vědomice - Demčík Milan St.</v>
      </c>
      <c r="E4" s="2">
        <v>2</v>
      </c>
      <c r="F4">
        <f t="shared" ca="1" si="1"/>
        <v>0</v>
      </c>
      <c r="I4" s="326" t="str">
        <f ca="1">IF(OR(TRIM(N4)="-",TRIM(N4)="")," ",N4)</f>
        <v>3 PC Sokol Lipník - Fafek Petr</v>
      </c>
      <c r="L4" s="326" t="str">
        <f ca="1">VLOOKUP($A4,'KO4'!$G$6:$H$7,2,0)</f>
        <v>15 Sokol Kostomlaty - Vyoral Hynek</v>
      </c>
      <c r="N4" s="326" t="str">
        <f ca="1">VLOOKUP($A4,'KO4'!$K$6:$L$7,2,0)</f>
        <v>3 PC Sokol Lipník - Fafek Petr</v>
      </c>
      <c r="W4" s="326" t="str">
        <f ca="1">VLOOKUP($A4,'KO8'!$G$6:$H$15,2,0)</f>
        <v>15 Sokol Kostomlaty - Vyoral Hynek</v>
      </c>
      <c r="X4" s="319">
        <f ca="1">VLOOKUP($A4,'KO8'!$G$6:$I$15,3,0)</f>
        <v>13</v>
      </c>
      <c r="Y4" s="326" t="str">
        <f ca="1">VLOOKUP($A4,'KO8'!$K$10:$L$11,2,0)</f>
        <v>15 Sokol Kostomlaty - Vyoral Hynek</v>
      </c>
      <c r="Z4" s="319">
        <f ca="1">VLOOKUP($A4,'KO8'!$K$10:$M$11,3,0)</f>
        <v>13</v>
      </c>
      <c r="AA4" s="326" t="str">
        <f ca="1">VLOOKUP($A4,'KO8'!$O$10:$P$11,2,0)</f>
        <v>3 PC Sokol Lipník - Fafek Petr</v>
      </c>
      <c r="AI4" s="326" t="str">
        <f ca="1">VLOOKUP($A4,'KO16'!$G$6:$H$31,2,0)</f>
        <v>15 Sokol Kostomlaty - Vyoral Hynek</v>
      </c>
      <c r="AJ4" s="319">
        <f ca="1">VLOOKUP($A4,'KO16'!$G$6:$I$31,3,0)</f>
        <v>1</v>
      </c>
      <c r="AK4" s="326" t="str">
        <f ca="1">VLOOKUP($A4,'KO16'!$K$10:$L$27,2,0)</f>
        <v>15 Sokol Kostomlaty - Vyoral Hynek</v>
      </c>
      <c r="AL4" s="319">
        <f ca="1">VLOOKUP($A4,'KO16'!$K$10:$M$27,3,0)</f>
        <v>13</v>
      </c>
      <c r="AM4" s="326" t="str">
        <f ca="1">VLOOKUP($A4,'KO16'!$O$18:$P$19,2,0)</f>
        <v>15 Sokol Kostomlaty - Vyoral Hynek</v>
      </c>
      <c r="AN4" s="319">
        <f ca="1">VLOOKUP($A4,'KO16'!$O$18:$Q$19,3,0)</f>
        <v>13</v>
      </c>
      <c r="AO4" s="326" t="str">
        <f ca="1">VLOOKUP($A4,'KO16'!$S$18:$T$19,2,0)</f>
        <v>3 PC Sokol Lipník - Fafek Petr</v>
      </c>
      <c r="AT4" s="326" t="str">
        <f ca="1">VLOOKUP($A4,'KO32'!$G$6:$H$63,2,0)</f>
        <v>2 SK Sahara Vědomice - Demčík Milan St.</v>
      </c>
      <c r="AU4" s="319">
        <f ca="1">VLOOKUP($A4,'KO32'!$G$6:$I$63,3,0)</f>
        <v>0</v>
      </c>
      <c r="AV4" s="326" t="str">
        <f ca="1">VLOOKUP($A4,'KO32'!$K$10:$L$59,2,0)</f>
        <v xml:space="preserve"> </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SK Sahara Vědomice - Demčík Milan St.</v>
      </c>
      <c r="BH4" s="319">
        <f ca="1">VLOOKUP($A4,'KO64'!$G$6:$I$127,3,0)</f>
        <v>13</v>
      </c>
      <c r="BI4" s="326" t="str">
        <f ca="1">VLOOKUP($A4,'KO64'!$K$10:$L$123,2,0)</f>
        <v>2 SK Sahara Vědomice - Demčík Milan St.</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34 PK Osika Plzeň - Špitálský Milan</v>
      </c>
      <c r="C5" s="63" t="str">
        <f ca="1">IF(E5&gt;$G$2,"",Nasazení!B5)</f>
        <v>C1</v>
      </c>
      <c r="D5" s="62" t="str">
        <f ca="1">IF(TYPE(VLOOKUP(C5,Výsledky_skupin!$A$3:$B$130,2,0))&gt;4," -",VLOOKUP(C5,Výsledky_skupin!$A$3:$B$130,2,0))</f>
        <v>34 PK Osika Plzeň - Špitálský Milan</v>
      </c>
      <c r="E5" s="2">
        <v>3</v>
      </c>
      <c r="F5">
        <f t="shared" ca="1" si="1"/>
        <v>0</v>
      </c>
      <c r="I5" s="326" t="str">
        <f ca="1">IF(OR(TRIM(P5)="-",TRIM(P5)="")," ",P5)</f>
        <v>13 PC Kolová - Plucar Petr</v>
      </c>
      <c r="P5" s="326" t="str">
        <f ca="1">VLOOKUP($A5,'KO4'!$K$16:$L$17,2,0)</f>
        <v>13 PC Kolová - Plucar Petr</v>
      </c>
      <c r="W5" s="326" t="str">
        <f ca="1">VLOOKUP($A5,'KO8'!$G$6:$H$15,2,0)</f>
        <v>6 PC Sokol Lipník - Froňková Blanka</v>
      </c>
      <c r="X5" s="319">
        <f ca="1">VLOOKUP($A5,'KO8'!$G$6:$I$15,3,0)</f>
        <v>8</v>
      </c>
      <c r="Y5" s="326" t="str">
        <f ca="1">VLOOKUP($A5,'KO8'!$K$10:$L$21,2,0)</f>
        <v>6 PC Sokol Lipník - Froňková Blanka</v>
      </c>
      <c r="Z5" s="319">
        <f ca="1">VLOOKUP($A5,'KO8'!$K$10:$M$21,3,0)</f>
        <v>6</v>
      </c>
      <c r="AA5" s="326" t="str">
        <f ca="1">VLOOKUP($A5,'KO8'!$O$10:$P$21,2,0)</f>
        <v>13 PC Kolová - Plucar Petr</v>
      </c>
      <c r="AC5" s="326" t="str">
        <f ca="1">VLOOKUP($A5,'KO8'!$O$20:$P$21,2,0)</f>
        <v>13 PC Kolová - Plucar Petr</v>
      </c>
      <c r="AI5" s="326" t="str">
        <f ca="1">VLOOKUP($A5,'KO16'!$G$6:$H$31,2,0)</f>
        <v>14 Petank Club Praha - Vorel Jan</v>
      </c>
      <c r="AJ5" s="319">
        <f ca="1">VLOOKUP($A5,'KO16'!$G$6:$I$31,3,0)</f>
        <v>0</v>
      </c>
      <c r="AK5" s="326" t="str">
        <f ca="1">VLOOKUP($A5,'KO16'!$K$10:$L$27,2,0)</f>
        <v>6 PC Sokol Lipník - Froňková Blanka</v>
      </c>
      <c r="AL5" s="319">
        <f ca="1">VLOOKUP($A5,'KO16'!$K$10:$M$27,3,0)</f>
        <v>8</v>
      </c>
      <c r="AM5" s="326" t="str">
        <f ca="1">VLOOKUP($A5,'KO16'!$O$18:$P$33,2,0)</f>
        <v>6 PC Sokol Lipník - Froňková Blanka</v>
      </c>
      <c r="AN5" s="319">
        <f ca="1">VLOOKUP($A5,'KO16'!$O$18:$Q$33,3,0)</f>
        <v>6</v>
      </c>
      <c r="AQ5" s="326" t="str">
        <f ca="1">VLOOKUP($A5,'KO16'!$S$32:$T$33,2,0)</f>
        <v>13 PC Kolová - Plucar Petr</v>
      </c>
      <c r="AT5" s="326" t="str">
        <f ca="1">VLOOKUP($A5,'KO32'!$G$6:$H$63,2,0)</f>
        <v>34 PK Osika Plzeň - Špitálský Milan</v>
      </c>
      <c r="AU5" s="319">
        <f ca="1">VLOOKUP($A5,'KO32'!$G$6:$I$63,3,0)</f>
        <v>0</v>
      </c>
      <c r="AV5" s="326" t="str">
        <f ca="1">VLOOKUP($A5,'KO32'!$K$10:$L$59,2,0)</f>
        <v xml:space="preserve"> </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34 PK Osika Plzeň - Špitálský Milan</v>
      </c>
      <c r="BH5" s="319">
        <f ca="1">VLOOKUP($A5,'KO64'!$G$6:$I$127,3,0)</f>
        <v>13</v>
      </c>
      <c r="BI5" s="326" t="str">
        <f ca="1">VLOOKUP($A5,'KO64'!$K$10:$L$123,2,0)</f>
        <v>34 PK Osika Plzeň - Špitálský Milan</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PC Kolová - Kauca Jindřich</v>
      </c>
      <c r="C6" s="63" t="str">
        <f ca="1">IF(E6&gt;$G$2,"",Nasazení!B6)</f>
        <v>D1</v>
      </c>
      <c r="D6" s="62" t="str">
        <f ca="1">IF(TYPE(VLOOKUP(C6,Výsledky_skupin!$A$3:$B$130,2,0))&gt;4," -",VLOOKUP(C6,Výsledky_skupin!$A$3:$B$130,2,0))</f>
        <v>4 PC Kolová - Kauca Jindřich</v>
      </c>
      <c r="E6" s="2">
        <v>4</v>
      </c>
      <c r="F6">
        <f t="shared" ca="1" si="1"/>
        <v>0</v>
      </c>
      <c r="I6" s="326" t="str">
        <f ca="1">IF(OR(TRIM(P6)="-",TRIM(P6)="")," ",P6)</f>
        <v>6 PC Sokol Lipník - Froňková Blanka</v>
      </c>
      <c r="P6" s="326" t="str">
        <f ca="1">VLOOKUP($A6,'KO4'!$K$16:$L$17,2,0)</f>
        <v>6 PC Sokol Lipník - Froňková Blanka</v>
      </c>
      <c r="W6" s="326" t="str">
        <f ca="1">VLOOKUP($A6,'KO8'!$G$6:$H$15,2,0)</f>
        <v>13 PC Kolová - Plucar Petr</v>
      </c>
      <c r="X6" s="319">
        <f ca="1">VLOOKUP($A6,'KO8'!$G$6:$I$15,3,0)</f>
        <v>6</v>
      </c>
      <c r="Y6" s="326" t="str">
        <f ca="1">VLOOKUP($A6,'KO8'!$K$10:$L$21,2,0)</f>
        <v>13 PC Kolová - Plucar Petr</v>
      </c>
      <c r="Z6" s="319">
        <f ca="1">VLOOKUP($A6,'KO8'!$K$10:$M$21,3,0)</f>
        <v>13</v>
      </c>
      <c r="AA6" s="326" t="str">
        <f ca="1">VLOOKUP($A6,'KO8'!$O$10:$P$21,2,0)</f>
        <v>6 PC Sokol Lipník - Froňková Blanka</v>
      </c>
      <c r="AC6" s="326" t="str">
        <f ca="1">VLOOKUP($A6,'KO8'!$O$20:$P$21,2,0)</f>
        <v>6 PC Sokol Lipník - Froňková Blanka</v>
      </c>
      <c r="AI6" s="326" t="str">
        <f ca="1">VLOOKUP($A6,'KO16'!$G$6:$H$31,2,0)</f>
        <v>13 PC Kolová - Plucar Petr</v>
      </c>
      <c r="AJ6" s="319">
        <f ca="1">VLOOKUP($A6,'KO16'!$G$6:$I$31,3,0)</f>
        <v>1</v>
      </c>
      <c r="AK6" s="326" t="str">
        <f ca="1">VLOOKUP($A6,'KO16'!$K$10:$L$27,2,0)</f>
        <v>13 PC Kolová - Plucar Petr</v>
      </c>
      <c r="AL6" s="319">
        <f ca="1">VLOOKUP($A6,'KO16'!$K$10:$M$27,3,0)</f>
        <v>6</v>
      </c>
      <c r="AM6" s="326" t="str">
        <f ca="1">VLOOKUP($A6,'KO16'!$O$18:$P$33,2,0)</f>
        <v>13 PC Kolová - Plucar Petr</v>
      </c>
      <c r="AN6" s="319">
        <f ca="1">VLOOKUP($A6,'KO16'!$O$18:$Q$33,3,0)</f>
        <v>13</v>
      </c>
      <c r="AQ6" s="326" t="str">
        <f ca="1">VLOOKUP($A6,'KO16'!$S$32:$T$33,2,0)</f>
        <v>6 PC Sokol Lipník - Froňková Blanka</v>
      </c>
      <c r="AT6" s="326" t="str">
        <f ca="1">VLOOKUP($A6,'KO32'!$G$6:$H$63,2,0)</f>
        <v>4 PC Kolová - Kauca Jindřich</v>
      </c>
      <c r="AU6" s="319">
        <f ca="1">VLOOKUP($A6,'KO32'!$G$6:$I$63,3,0)</f>
        <v>0</v>
      </c>
      <c r="AV6" s="326" t="str">
        <f ca="1">VLOOKUP($A6,'KO32'!$K$10:$L$59,2,0)</f>
        <v xml:space="preserve"> </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PC Kolová - Kauca Jindřich</v>
      </c>
      <c r="BH6" s="319">
        <f ca="1">VLOOKUP($A6,'KO64'!$G$6:$I$127,3,0)</f>
        <v>13</v>
      </c>
      <c r="BI6" s="326" t="str">
        <f ca="1">VLOOKUP($A6,'KO64'!$K$10:$L$123,2,0)</f>
        <v>4 PC Kolová - Kauca Jindřich</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32 PK Osika Plzeň - Radoušová Jana</v>
      </c>
      <c r="C7" s="63" t="str">
        <f ca="1">IF(E7&gt;$G$2,"",Nasazení!B7)</f>
        <v>E1</v>
      </c>
      <c r="D7" s="62" t="str">
        <f ca="1">IF(TYPE(VLOOKUP(C7,Výsledky_skupin!$A$3:$B$130,2,0))&gt;4," -",VLOOKUP(C7,Výsledky_skupin!$A$3:$B$130,2,0))</f>
        <v>32 PK Osika Plzeň - Radoušová Jana</v>
      </c>
      <c r="E7" s="2">
        <v>5</v>
      </c>
      <c r="F7">
        <f t="shared" ca="1" si="1"/>
        <v>0</v>
      </c>
      <c r="I7" s="326" t="str">
        <f ca="1">IF(OR(TRIM(S7)="-",TRIM(S7)="")," ",S7)</f>
        <v>32 PK Osika Plzeň - Radoušová Jana</v>
      </c>
      <c r="S7" s="326" t="str">
        <f ca="1">VLOOKUP($A7,'Dohrávka_5-8'!$K$6:$L$13,2,0)</f>
        <v>32 PK Osika Plzeň - Radoušová Jana</v>
      </c>
      <c r="AI7" s="326" t="str">
        <f ca="1">VLOOKUP($A7,'KO16'!$G$6:$H$31,2,0)</f>
        <v>32 PK Osika Plzeň - Radoušová Jana</v>
      </c>
      <c r="AJ7" s="319">
        <f ca="1">VLOOKUP($A7,'KO16'!$G$6:$I$31,3,0)</f>
        <v>0</v>
      </c>
      <c r="AT7" s="326" t="str">
        <f ca="1">VLOOKUP($A7,'KO32'!$G$6:$H$63,2,0)</f>
        <v>32 PK Osika Plzeň - Radoušová Jana</v>
      </c>
      <c r="AU7" s="319">
        <f ca="1">VLOOKUP($A7,'KO32'!$G$6:$I$63,3,0)</f>
        <v>0</v>
      </c>
      <c r="AV7" s="326" t="str">
        <f ca="1">VLOOKUP($A7,'KO32'!$K$10:$L$59,2,0)</f>
        <v xml:space="preserve"> </v>
      </c>
      <c r="AW7" s="319">
        <f ca="1">VLOOKUP($A7,'KO32'!$K$10:$M$59,3,0)</f>
        <v>0</v>
      </c>
      <c r="BG7" s="326" t="str">
        <f ca="1">VLOOKUP($A7,'KO64'!$G$6:$H$127,2,0)</f>
        <v>32 PK Osika Plzeň - Radoušová Jana</v>
      </c>
      <c r="BH7" s="319">
        <f ca="1">VLOOKUP($A7,'KO64'!$G$6:$I$127,3,0)</f>
        <v>13</v>
      </c>
      <c r="BI7" s="326" t="str">
        <f ca="1">VLOOKUP($A7,'KO64'!$K$10:$L$123,2,0)</f>
        <v>32 PK Osika Plzeň - Radoušová Jana</v>
      </c>
      <c r="BJ7" s="319">
        <f ca="1">VLOOKUP($A7,'KO64'!$K$10:$M$123,3,0)</f>
        <v>0</v>
      </c>
      <c r="BK7" s="326" t="str">
        <f ca="1">VLOOKUP($A7,'KO64'!$O$18:$P$115,2,0)</f>
        <v xml:space="preserve"> </v>
      </c>
      <c r="BL7" s="319">
        <f ca="1">VLOOKUP($A7,'KO64'!$O$18:$Q$115,3,0)</f>
        <v>0</v>
      </c>
    </row>
    <row r="8" spans="1:71">
      <c r="A8" s="2">
        <f t="shared" ca="1" si="0"/>
        <v>6</v>
      </c>
      <c r="B8" s="62" t="str">
        <f t="shared" ca="1" si="2"/>
        <v>6 PC Sokol Lipník - Froňková Blanka</v>
      </c>
      <c r="C8" s="63" t="str">
        <f ca="1">IF(E8&gt;$G$2,"",Nasazení!B8)</f>
        <v>F1</v>
      </c>
      <c r="D8" s="62" t="str">
        <f ca="1">IF(TYPE(VLOOKUP(C8,Výsledky_skupin!$A$3:$B$130,2,0))&gt;4," -",VLOOKUP(C8,Výsledky_skupin!$A$3:$B$130,2,0))</f>
        <v>6 PC Sokol Lipník - Froňková Blanka</v>
      </c>
      <c r="E8" s="2">
        <v>6</v>
      </c>
      <c r="F8">
        <f t="shared" ca="1" si="1"/>
        <v>0</v>
      </c>
      <c r="I8" s="326" t="str">
        <f ca="1">IF(OR(TRIM(S8)="-",TRIM(S8)="")," ",S8)</f>
        <v>14 Petank Club Praha - Vorel Jan</v>
      </c>
      <c r="S8" s="326" t="str">
        <f ca="1">VLOOKUP($A8,'Dohrávka_5-8'!$K$6:$L$13,2,0)</f>
        <v>14 Petank Club Praha - Vorel Jan</v>
      </c>
      <c r="AI8" s="326" t="str">
        <f ca="1">VLOOKUP($A8,'KO16'!$G$6:$H$31,2,0)</f>
        <v>6 PC Sokol Lipník - Froňková Blanka</v>
      </c>
      <c r="AJ8" s="319">
        <f ca="1">VLOOKUP($A8,'KO16'!$G$6:$I$31,3,0)</f>
        <v>1</v>
      </c>
      <c r="AT8" s="326" t="str">
        <f ca="1">VLOOKUP($A8,'KO32'!$G$6:$H$63,2,0)</f>
        <v>6 PC Sokol Lipník - Froňková Blanka</v>
      </c>
      <c r="AU8" s="319">
        <f ca="1">VLOOKUP($A8,'KO32'!$G$6:$I$63,3,0)</f>
        <v>0</v>
      </c>
      <c r="AV8" s="326" t="str">
        <f ca="1">VLOOKUP($A8,'KO32'!$K$10:$L$59,2,0)</f>
        <v xml:space="preserve"> </v>
      </c>
      <c r="AW8" s="319">
        <f ca="1">VLOOKUP($A8,'KO32'!$K$10:$M$59,3,0)</f>
        <v>0</v>
      </c>
      <c r="BG8" s="326" t="str">
        <f ca="1">VLOOKUP($A8,'KO64'!$G$6:$H$127,2,0)</f>
        <v>6 PC Sokol Lipník - Froňková Blanka</v>
      </c>
      <c r="BH8" s="319">
        <f ca="1">VLOOKUP($A8,'KO64'!$G$6:$I$127,3,0)</f>
        <v>1</v>
      </c>
      <c r="BI8" s="326" t="str">
        <f ca="1">VLOOKUP($A8,'KO64'!$K$10:$L$123,2,0)</f>
        <v>6 PC Sokol Lipník - Froňková Blanka</v>
      </c>
      <c r="BJ8" s="319">
        <f ca="1">VLOOKUP($A8,'KO64'!$K$10:$M$123,3,0)</f>
        <v>0</v>
      </c>
      <c r="BK8" s="326" t="str">
        <f ca="1">VLOOKUP($A8,'KO64'!$O$18:$P$115,2,0)</f>
        <v xml:space="preserve"> </v>
      </c>
      <c r="BL8" s="319">
        <f ca="1">VLOOKUP($A8,'KO64'!$O$18:$Q$115,3,0)</f>
        <v>0</v>
      </c>
    </row>
    <row r="9" spans="1:71">
      <c r="A9" s="2">
        <f t="shared" ca="1" si="0"/>
        <v>7</v>
      </c>
      <c r="B9" s="62" t="str">
        <f t="shared" ca="1" si="2"/>
        <v>7 CdP Loděnice - Mrázek Petr</v>
      </c>
      <c r="C9" s="63" t="str">
        <f ca="1">IF(E9&gt;$G$2,"",Nasazení!B9)</f>
        <v>G1</v>
      </c>
      <c r="D9" s="62" t="str">
        <f ca="1">IF(TYPE(VLOOKUP(C9,Výsledky_skupin!$A$3:$B$130,2,0))&gt;4," -",VLOOKUP(C9,Výsledky_skupin!$A$3:$B$130,2,0))</f>
        <v>7 CdP Loděnice - Mrázek Petr</v>
      </c>
      <c r="E9" s="2">
        <v>7</v>
      </c>
      <c r="F9">
        <f t="shared" ca="1" si="1"/>
        <v>0</v>
      </c>
      <c r="I9" s="326" t="str">
        <f ca="1">IF(OR(TRIM(S9)="-",TRIM(S9)="")," ",S9)</f>
        <v>24 PK Osika Plzeň - Jirkovský Tomáš</v>
      </c>
      <c r="S9" s="326" t="str">
        <f ca="1">VLOOKUP($A9,'Dohrávka_5-8'!$K$6:$L$13,2,0)</f>
        <v>24 PK Osika Plzeň - Jirkovský Tomáš</v>
      </c>
      <c r="AI9" s="326" t="str">
        <f ca="1">VLOOKUP($A9,'KO16'!$G$6:$H$31,2,0)</f>
        <v>24 PK Osika Plzeň - Jirkovský Tomáš</v>
      </c>
      <c r="AJ9" s="319">
        <f ca="1">VLOOKUP($A9,'KO16'!$G$6:$I$31,3,0)</f>
        <v>0</v>
      </c>
      <c r="AT9" s="326" t="str">
        <f ca="1">VLOOKUP($A9,'KO32'!$G$6:$H$63,2,0)</f>
        <v>7 CdP Loděnice - Mrázek Petr</v>
      </c>
      <c r="AU9" s="319">
        <f ca="1">VLOOKUP($A9,'KO32'!$G$6:$I$63,3,0)</f>
        <v>0</v>
      </c>
      <c r="AV9" s="326" t="str">
        <f ca="1">VLOOKUP($A9,'KO32'!$K$10:$L$59,2,0)</f>
        <v xml:space="preserve"> </v>
      </c>
      <c r="AW9" s="319">
        <f ca="1">VLOOKUP($A9,'KO32'!$K$10:$M$59,3,0)</f>
        <v>0</v>
      </c>
      <c r="BG9" s="326" t="str">
        <f ca="1">VLOOKUP($A9,'KO64'!$G$6:$H$127,2,0)</f>
        <v>7 CdP Loděnice - Mrázek Petr</v>
      </c>
      <c r="BH9" s="319">
        <f ca="1">VLOOKUP($A9,'KO64'!$G$6:$I$127,3,0)</f>
        <v>13</v>
      </c>
      <c r="BI9" s="326" t="str">
        <f ca="1">VLOOKUP($A9,'KO64'!$K$10:$L$123,2,0)</f>
        <v>7 CdP Loděnice - Mrázek Petr</v>
      </c>
      <c r="BJ9" s="319">
        <f ca="1">VLOOKUP($A9,'KO64'!$K$10:$M$123,3,0)</f>
        <v>0</v>
      </c>
      <c r="BK9" s="326" t="str">
        <f ca="1">VLOOKUP($A9,'KO64'!$O$18:$P$115,2,0)</f>
        <v xml:space="preserve"> </v>
      </c>
      <c r="BL9" s="319">
        <f ca="1">VLOOKUP($A9,'KO64'!$O$18:$Q$115,3,0)</f>
        <v>0</v>
      </c>
    </row>
    <row r="10" spans="1:71">
      <c r="A10" s="2">
        <f t="shared" ca="1" si="0"/>
        <v>8</v>
      </c>
      <c r="B10" s="62" t="str">
        <f t="shared" ca="1" si="2"/>
        <v>44 Spolek Park Grébovka - Nepomucký Jaroslav</v>
      </c>
      <c r="C10" s="63" t="str">
        <f ca="1">IF(E10&gt;$G$2,"",Nasazení!B10)</f>
        <v>H1</v>
      </c>
      <c r="D10" s="62" t="str">
        <f ca="1">IF(TYPE(VLOOKUP(C10,Výsledky_skupin!$A$3:$B$130,2,0))&gt;4," -",VLOOKUP(C10,Výsledky_skupin!$A$3:$B$130,2,0))</f>
        <v>44 Spolek Park Grébovka - Nepomucký Jaroslav</v>
      </c>
      <c r="E10" s="2">
        <v>8</v>
      </c>
      <c r="F10">
        <f t="shared" ca="1" si="1"/>
        <v>0</v>
      </c>
      <c r="I10" s="326" t="str">
        <f ca="1">IF(OR(TRIM(S10)="-",TRIM(S10)="")," ",S10)</f>
        <v>28 UBU Únětice - Kot Pavel</v>
      </c>
      <c r="S10" s="326" t="str">
        <f ca="1">VLOOKUP($A10,'Dohrávka_5-8'!$K$6:$L$13,2,0)</f>
        <v>28 UBU Únětice - Kot Pavel</v>
      </c>
      <c r="AI10" s="326" t="str">
        <f ca="1">VLOOKUP($A10,'KO16'!$G$6:$H$31,2,0)</f>
        <v>28 UBU Únětice - Kot Pavel</v>
      </c>
      <c r="AJ10" s="319">
        <f ca="1">VLOOKUP($A10,'KO16'!$G$6:$I$31,3,0)</f>
        <v>1</v>
      </c>
      <c r="AT10" s="326" t="str">
        <f ca="1">VLOOKUP($A10,'KO32'!$G$6:$H$63,2,0)</f>
        <v>44 Spolek Park Grébovka - Nepomucký Jaroslav</v>
      </c>
      <c r="AU10" s="319">
        <f ca="1">VLOOKUP($A10,'KO32'!$G$6:$I$63,3,0)</f>
        <v>0</v>
      </c>
      <c r="AV10" s="326" t="str">
        <f ca="1">VLOOKUP($A10,'KO32'!$K$10:$L$59,2,0)</f>
        <v xml:space="preserve"> </v>
      </c>
      <c r="AW10" s="319">
        <f ca="1">VLOOKUP($A10,'KO32'!$K$10:$M$59,3,0)</f>
        <v>0</v>
      </c>
      <c r="BG10" s="326" t="str">
        <f ca="1">VLOOKUP($A10,'KO64'!$G$6:$H$127,2,0)</f>
        <v>44 Spolek Park Grébovka - Nepomucký Jaroslav</v>
      </c>
      <c r="BH10" s="319">
        <f ca="1">VLOOKUP($A10,'KO64'!$G$6:$I$127,3,0)</f>
        <v>8</v>
      </c>
      <c r="BI10" s="326" t="str">
        <f ca="1">VLOOKUP($A10,'KO64'!$K$10:$L$123,2,0)</f>
        <v>44 Spolek Park Grébovka - Nepomucký Jaroslav</v>
      </c>
      <c r="BJ10" s="319">
        <f ca="1">VLOOKUP($A10,'KO64'!$K$10:$M$123,3,0)</f>
        <v>0</v>
      </c>
      <c r="BK10" s="326" t="str">
        <f ca="1">VLOOKUP($A10,'KO64'!$O$18:$P$115,2,0)</f>
        <v xml:space="preserve"> </v>
      </c>
      <c r="BL10" s="319">
        <f ca="1">VLOOKUP($A10,'KO64'!$O$18:$Q$115,3,0)</f>
        <v>0</v>
      </c>
    </row>
    <row r="11" spans="1:71">
      <c r="A11" s="2">
        <f t="shared" ca="1" si="0"/>
        <v>9</v>
      </c>
      <c r="B11" s="62" t="str">
        <f t="shared" ca="1" si="2"/>
        <v>28 UBU Únětice - Kot Pavel</v>
      </c>
      <c r="C11" s="63" t="str">
        <f ca="1">IF(E11&gt;$G$2,"",Nasazení!B11)</f>
        <v>I1</v>
      </c>
      <c r="D11" s="62" t="str">
        <f ca="1">IF(TYPE(VLOOKUP(C11,Výsledky_skupin!$A$3:$B$130,2,0))&gt;4," -",VLOOKUP(C11,Výsledky_skupin!$A$3:$B$130,2,0))</f>
        <v>28 UBU Únětice - Kot Pavel</v>
      </c>
      <c r="E11" s="2">
        <v>9</v>
      </c>
      <c r="F11">
        <f t="shared" ca="1" si="1"/>
        <v>0</v>
      </c>
      <c r="I11" s="326" t="str">
        <f ca="1">IF(OR(TRIM(AE11)="-",TRIM(AE11)="")," ",AE11)</f>
        <v>34 PK Osika Plzeň - Špitálský Milan</v>
      </c>
      <c r="AE11" s="326" t="str">
        <f ca="1">VLOOKUP($A11,'Dohrávka_9-16'!$O$10:$P$35,2,0)</f>
        <v>34 PK Osika Plzeň - Špitálský Milan</v>
      </c>
      <c r="AT11" s="326" t="str">
        <f ca="1">VLOOKUP($A11,'KO32'!$G$6:$H$63,2,0)</f>
        <v>28 UBU Únětice - Kot Pavel</v>
      </c>
      <c r="AU11" s="319">
        <f ca="1">VLOOKUP($A11,'KO32'!$G$6:$I$63,3,0)</f>
        <v>0</v>
      </c>
      <c r="BG11" s="326" t="str">
        <f ca="1">VLOOKUP($A11,'KO64'!$G$6:$H$127,2,0)</f>
        <v>28 UBU Únětice - Kot Pavel</v>
      </c>
      <c r="BH11" s="319">
        <f ca="1">VLOOKUP($A11,'KO64'!$G$6:$I$127,3,0)</f>
        <v>10</v>
      </c>
      <c r="BI11" s="326" t="str">
        <f ca="1">VLOOKUP($A11,'KO64'!$K$10:$L$123,2,0)</f>
        <v>28 UBU Únětice - Kot Pavel</v>
      </c>
      <c r="BJ11" s="319">
        <f ca="1">VLOOKUP($A11,'KO64'!$K$10:$M$123,3,0)</f>
        <v>0</v>
      </c>
    </row>
    <row r="12" spans="1:71">
      <c r="A12" s="2">
        <f ca="1">E12+F12</f>
        <v>10</v>
      </c>
      <c r="B12" s="62" t="str">
        <f t="shared" ca="1" si="2"/>
        <v>10 SKP Kulová osma - Krejčín Leoš</v>
      </c>
      <c r="C12" s="63" t="str">
        <f ca="1">IF(E12&gt;$G$2,"",Nasazení!B12)</f>
        <v>J1</v>
      </c>
      <c r="D12" s="62" t="str">
        <f ca="1">IF(TYPE(VLOOKUP(C12,Výsledky_skupin!$A$3:$B$130,2,0))&gt;4," -",VLOOKUP(C12,Výsledky_skupin!$A$3:$B$130,2,0))</f>
        <v>10 SKP Kulová osma - Krejčín Leoš</v>
      </c>
      <c r="E12" s="2">
        <v>10</v>
      </c>
      <c r="F12">
        <f t="shared" ca="1" si="1"/>
        <v>0</v>
      </c>
      <c r="I12" s="326" t="str">
        <f t="shared" ref="I12:I18" ca="1" si="3">IF(OR(TRIM(AE12)="-",TRIM(AE12)="")," ",AE12)</f>
        <v>20 Club Rodamiento - Dlouhá Ivana</v>
      </c>
      <c r="AE12" s="326" t="str">
        <f ca="1">VLOOKUP($A12,'Dohrávka_9-16'!$O$10:$P$35,2,0)</f>
        <v>20 Club Rodamiento - Dlouhá Ivana</v>
      </c>
      <c r="AT12" s="326" t="str">
        <f ca="1">VLOOKUP($A12,'KO32'!$G$6:$H$63,2,0)</f>
        <v>24 PK Osika Plzeň - Jirkovský Tomáš</v>
      </c>
      <c r="AU12" s="319">
        <f ca="1">VLOOKUP($A12,'KO32'!$G$6:$I$63,3,0)</f>
        <v>0</v>
      </c>
      <c r="BG12" s="326" t="str">
        <f ca="1">VLOOKUP($A12,'KO64'!$G$6:$H$127,2,0)</f>
        <v>10 SKP Kulová osma - Krejčín Leoš</v>
      </c>
      <c r="BH12" s="319">
        <f ca="1">VLOOKUP($A12,'KO64'!$G$6:$I$127,3,0)</f>
        <v>7</v>
      </c>
      <c r="BI12" s="326" t="str">
        <f ca="1">VLOOKUP($A12,'KO64'!$K$10:$L$123,2,0)</f>
        <v>24 PK Osika Plzeň - Jirkovský Tomáš</v>
      </c>
      <c r="BJ12" s="319">
        <f ca="1">VLOOKUP($A12,'KO64'!$K$10:$M$123,3,0)</f>
        <v>0</v>
      </c>
    </row>
    <row r="13" spans="1:71">
      <c r="A13" s="2">
        <f t="shared" ca="1" si="0"/>
        <v>11</v>
      </c>
      <c r="B13" s="62" t="str">
        <f ca="1">IF(E13&gt;$G$2," - ",D13)</f>
        <v>62 CdP Loděnice - Pospíšilová Šárka</v>
      </c>
      <c r="C13" s="63" t="str">
        <f ca="1">IF(E13&gt;$G$2,"",Nasazení!B13)</f>
        <v>K1</v>
      </c>
      <c r="D13" s="62" t="str">
        <f ca="1">IF(TYPE(VLOOKUP(C13,Výsledky_skupin!$A$3:$B$130,2,0))&gt;4," -",VLOOKUP(C13,Výsledky_skupin!$A$3:$B$130,2,0))</f>
        <v>62 CdP Loděnice - Pospíšilová Šárka</v>
      </c>
      <c r="E13" s="2">
        <v>11</v>
      </c>
      <c r="F13">
        <f t="shared" ca="1" si="1"/>
        <v>0</v>
      </c>
      <c r="I13" s="326" t="str">
        <f t="shared" ca="1" si="3"/>
        <v>22 SKP Kulová osma - Zátka Miloslav</v>
      </c>
      <c r="AE13" s="326" t="str">
        <f ca="1">VLOOKUP($A13,'Dohrávka_9-16'!$O$10:$P$35,2,0)</f>
        <v>22 SKP Kulová osma - Zátka Miloslav</v>
      </c>
      <c r="AT13" s="326" t="str">
        <f ca="1">VLOOKUP($A13,'KO32'!$G$6:$H$63,2,0)</f>
        <v>62 CdP Loděnice - Pospíšilová Šárka</v>
      </c>
      <c r="AU13" s="319">
        <f ca="1">VLOOKUP($A13,'KO32'!$G$6:$I$63,3,0)</f>
        <v>0</v>
      </c>
      <c r="BG13" s="326" t="str">
        <f ca="1">VLOOKUP($A13,'KO64'!$G$6:$H$127,2,0)</f>
        <v>62 CdP Loděnice - Pospíšilová Šárka</v>
      </c>
      <c r="BH13" s="319">
        <f ca="1">VLOOKUP($A13,'KO64'!$G$6:$I$127,3,0)</f>
        <v>13</v>
      </c>
      <c r="BI13" s="326" t="str">
        <f ca="1">VLOOKUP($A13,'KO64'!$K$10:$L$123,2,0)</f>
        <v>62 CdP Loděnice - Pospíšilová Šárka</v>
      </c>
      <c r="BJ13" s="319">
        <f ca="1">VLOOKUP($A13,'KO64'!$K$10:$M$123,3,0)</f>
        <v>0</v>
      </c>
    </row>
    <row r="14" spans="1:71">
      <c r="A14" s="2">
        <f t="shared" ca="1" si="0"/>
        <v>12</v>
      </c>
      <c r="B14" s="62" t="str">
        <f t="shared" ref="B14:B66" ca="1" si="4">IF(E14&gt;$G$2," - ",D14)</f>
        <v>12 SKP Kulová osma - Chmelař Ivo</v>
      </c>
      <c r="C14" s="63" t="str">
        <f ca="1">IF(E14&gt;$G$2,"",Nasazení!B14)</f>
        <v>L1</v>
      </c>
      <c r="D14" s="62" t="str">
        <f ca="1">IF(TYPE(VLOOKUP(C14,Výsledky_skupin!$A$3:$B$130,2,0))&gt;4," -",VLOOKUP(C14,Výsledky_skupin!$A$3:$B$130,2,0))</f>
        <v>12 SKP Kulová osma - Chmelař Ivo</v>
      </c>
      <c r="E14" s="2">
        <v>12</v>
      </c>
      <c r="F14">
        <f t="shared" ca="1" si="1"/>
        <v>0</v>
      </c>
      <c r="I14" s="326" t="str">
        <f t="shared" ca="1" si="3"/>
        <v>7 CdP Loděnice - Mrázek Petr</v>
      </c>
      <c r="AE14" s="326" t="str">
        <f ca="1">VLOOKUP($A14,'Dohrávka_9-16'!$O$10:$P$35,2,0)</f>
        <v>7 CdP Loděnice - Mrázek Petr</v>
      </c>
      <c r="AT14" s="326" t="str">
        <f ca="1">VLOOKUP($A14,'KO32'!$G$6:$H$63,2,0)</f>
        <v>22 SKP Kulová osma - Zátka Miloslav</v>
      </c>
      <c r="AU14" s="319">
        <f ca="1">VLOOKUP($A14,'KO32'!$G$6:$I$63,3,0)</f>
        <v>0</v>
      </c>
      <c r="BG14" s="326" t="str">
        <f ca="1">VLOOKUP($A14,'KO64'!$G$6:$H$127,2,0)</f>
        <v>12 SKP Kulová osma - Chmelař Ivo</v>
      </c>
      <c r="BH14" s="319">
        <f ca="1">VLOOKUP($A14,'KO64'!$G$6:$I$127,3,0)</f>
        <v>0</v>
      </c>
      <c r="BI14" s="326" t="str">
        <f ca="1">VLOOKUP($A14,'KO64'!$K$10:$L$123,2,0)</f>
        <v>22 SKP Kulová osma - Zátka Miloslav</v>
      </c>
      <c r="BJ14" s="319">
        <f ca="1">VLOOKUP($A14,'KO64'!$K$10:$M$123,3,0)</f>
        <v>0</v>
      </c>
    </row>
    <row r="15" spans="1:71">
      <c r="A15" s="2">
        <f t="shared" ca="1" si="0"/>
        <v>13</v>
      </c>
      <c r="B15" s="62" t="str">
        <f t="shared" ca="1" si="4"/>
        <v>13 PC Kolová - Plucar Petr</v>
      </c>
      <c r="C15" s="63" t="str">
        <f ca="1">IF(E15&gt;$G$2,"",Nasazení!B15)</f>
        <v>M1</v>
      </c>
      <c r="D15" s="62" t="str">
        <f ca="1">IF(TYPE(VLOOKUP(C15,Výsledky_skupin!$A$3:$B$130,2,0))&gt;4," -",VLOOKUP(C15,Výsledky_skupin!$A$3:$B$130,2,0))</f>
        <v>13 PC Kolová - Plucar Petr</v>
      </c>
      <c r="E15" s="2">
        <v>13</v>
      </c>
      <c r="F15">
        <f t="shared" ca="1" si="1"/>
        <v>0</v>
      </c>
      <c r="I15" s="326" t="str">
        <f t="shared" ca="1" si="3"/>
        <v>62 CdP Loděnice - Pospíšilová Šárka</v>
      </c>
      <c r="AE15" s="326" t="str">
        <f ca="1">VLOOKUP($A15,'Dohrávka_9-16'!$O$10:$P$35,2,0)</f>
        <v>62 CdP Loděnice - Pospíšilová Šárka</v>
      </c>
      <c r="AT15" s="326" t="str">
        <f ca="1">VLOOKUP($A15,'KO32'!$G$6:$H$63,2,0)</f>
        <v>13 PC Kolová - Plucar Petr</v>
      </c>
      <c r="AU15" s="319">
        <f ca="1">VLOOKUP($A15,'KO32'!$G$6:$I$63,3,0)</f>
        <v>0</v>
      </c>
      <c r="BG15" s="326" t="str">
        <f ca="1">VLOOKUP($A15,'KO64'!$G$6:$H$127,2,0)</f>
        <v>13 PC Kolová - Plucar Petr</v>
      </c>
      <c r="BH15" s="319">
        <f ca="1">VLOOKUP($A15,'KO64'!$G$6:$I$127,3,0)</f>
        <v>13</v>
      </c>
      <c r="BI15" s="326" t="str">
        <f ca="1">VLOOKUP($A15,'KO64'!$K$10:$L$123,2,0)</f>
        <v>13 PC Kolová - Plucar Petr</v>
      </c>
      <c r="BJ15" s="319">
        <f ca="1">VLOOKUP($A15,'KO64'!$K$10:$M$123,3,0)</f>
        <v>0</v>
      </c>
    </row>
    <row r="16" spans="1:71">
      <c r="A16" s="2">
        <f t="shared" ca="1" si="0"/>
        <v>14</v>
      </c>
      <c r="B16" s="62" t="str">
        <f t="shared" ca="1" si="4"/>
        <v>14 Petank Club Praha - Vorel Jan</v>
      </c>
      <c r="C16" s="63" t="str">
        <f ca="1">IF(E16&gt;$G$2,"",Nasazení!B16)</f>
        <v>N1</v>
      </c>
      <c r="D16" s="62" t="str">
        <f ca="1">IF(TYPE(VLOOKUP(C16,Výsledky_skupin!$A$3:$B$130,2,0))&gt;4," -",VLOOKUP(C16,Výsledky_skupin!$A$3:$B$130,2,0))</f>
        <v>14 Petank Club Praha - Vorel Jan</v>
      </c>
      <c r="E16" s="2">
        <v>14</v>
      </c>
      <c r="F16">
        <f t="shared" ca="1" si="1"/>
        <v>0</v>
      </c>
      <c r="I16" s="326" t="str">
        <f t="shared" ca="1" si="3"/>
        <v>44 Spolek Park Grébovka - Nepomucký Jaroslav</v>
      </c>
      <c r="AE16" s="326" t="str">
        <f ca="1">VLOOKUP($A16,'Dohrávka_9-16'!$O$10:$P$35,2,0)</f>
        <v>44 Spolek Park Grébovka - Nepomucký Jaroslav</v>
      </c>
      <c r="AT16" s="326" t="str">
        <f ca="1">VLOOKUP($A16,'KO32'!$G$6:$H$63,2,0)</f>
        <v>14 Petank Club Praha - Vorel Jan</v>
      </c>
      <c r="AU16" s="319">
        <f ca="1">VLOOKUP($A16,'KO32'!$G$6:$I$63,3,0)</f>
        <v>0</v>
      </c>
      <c r="BG16" s="326" t="str">
        <f ca="1">VLOOKUP($A16,'KO64'!$G$6:$H$127,2,0)</f>
        <v>14 Petank Club Praha - Vorel Jan</v>
      </c>
      <c r="BH16" s="319">
        <f ca="1">VLOOKUP($A16,'KO64'!$G$6:$I$127,3,0)</f>
        <v>13</v>
      </c>
      <c r="BI16" s="326" t="str">
        <f ca="1">VLOOKUP($A16,'KO64'!$K$10:$L$123,2,0)</f>
        <v>14 Petank Club Praha - Vorel Jan</v>
      </c>
      <c r="BJ16" s="319">
        <f ca="1">VLOOKUP($A16,'KO64'!$K$10:$M$123,3,0)</f>
        <v>0</v>
      </c>
    </row>
    <row r="17" spans="1:62">
      <c r="A17" s="2">
        <f t="shared" ca="1" si="0"/>
        <v>15</v>
      </c>
      <c r="B17" s="62" t="str">
        <f t="shared" ca="1" si="4"/>
        <v>15 Sokol Kostomlaty - Vyoral Hynek</v>
      </c>
      <c r="C17" s="63" t="str">
        <f ca="1">IF(E17&gt;$G$2,"",Nasazení!B17)</f>
        <v>O1</v>
      </c>
      <c r="D17" s="62" t="str">
        <f ca="1">IF(TYPE(VLOOKUP(C17,Výsledky_skupin!$A$3:$B$130,2,0))&gt;4," -",VLOOKUP(C17,Výsledky_skupin!$A$3:$B$130,2,0))</f>
        <v>15 Sokol Kostomlaty - Vyoral Hynek</v>
      </c>
      <c r="E17" s="2">
        <v>15</v>
      </c>
      <c r="F17">
        <f t="shared" ca="1" si="1"/>
        <v>0</v>
      </c>
      <c r="I17" s="326" t="str">
        <f t="shared" ca="1" si="3"/>
        <v>4 PC Kolová - Kauca Jindřich</v>
      </c>
      <c r="AE17" s="326" t="str">
        <f ca="1">VLOOKUP($A17,'Dohrávka_9-16'!$O$10:$P$35,2,0)</f>
        <v>4 PC Kolová - Kauca Jindřich</v>
      </c>
      <c r="AT17" s="326" t="str">
        <f ca="1">VLOOKUP($A17,'KO32'!$G$6:$H$63,2,0)</f>
        <v>15 Sokol Kostomlaty - Vyoral Hynek</v>
      </c>
      <c r="AU17" s="319">
        <f ca="1">VLOOKUP($A17,'KO32'!$G$6:$I$63,3,0)</f>
        <v>0</v>
      </c>
      <c r="BG17" s="326" t="str">
        <f ca="1">VLOOKUP($A17,'KO64'!$G$6:$H$127,2,0)</f>
        <v>15 Sokol Kostomlaty - Vyoral Hynek</v>
      </c>
      <c r="BH17" s="319">
        <f ca="1">VLOOKUP($A17,'KO64'!$G$6:$I$127,3,0)</f>
        <v>13</v>
      </c>
      <c r="BI17" s="326" t="str">
        <f ca="1">VLOOKUP($A17,'KO64'!$K$10:$L$123,2,0)</f>
        <v>15 Sokol Kostomlaty - Vyoral Hynek</v>
      </c>
      <c r="BJ17" s="319">
        <f ca="1">VLOOKUP($A17,'KO64'!$K$10:$M$123,3,0)</f>
        <v>0</v>
      </c>
    </row>
    <row r="18" spans="1:62">
      <c r="A18" s="2">
        <f t="shared" ca="1" si="0"/>
        <v>16</v>
      </c>
      <c r="B18" s="62" t="str">
        <f t="shared" ca="1" si="4"/>
        <v>16 1. KPK Vrchlabí - Mašek Pavel</v>
      </c>
      <c r="C18" s="63" t="str">
        <f ca="1">IF(E18&gt;$G$2,"",Nasazení!B18)</f>
        <v>P1</v>
      </c>
      <c r="D18" s="62" t="str">
        <f ca="1">IF(TYPE(VLOOKUP(C18,Výsledky_skupin!$A$3:$B$130,2,0))&gt;4," -",VLOOKUP(C18,Výsledky_skupin!$A$3:$B$130,2,0))</f>
        <v>16 1. KPK Vrchlabí - Mašek Pavel</v>
      </c>
      <c r="E18" s="2">
        <v>16</v>
      </c>
      <c r="F18">
        <f t="shared" ca="1" si="1"/>
        <v>0</v>
      </c>
      <c r="I18" s="326" t="str">
        <f t="shared" ca="1" si="3"/>
        <v>2 SK Sahara Vědomice - Demčík Milan St.</v>
      </c>
      <c r="AE18" s="326" t="str">
        <f ca="1">VLOOKUP($A18,'Dohrávka_9-16'!$O$10:$P$35,2,0)</f>
        <v>2 SK Sahara Vědomice - Demčík Milan St.</v>
      </c>
      <c r="AT18" s="326" t="str">
        <f ca="1">VLOOKUP($A18,'KO32'!$G$6:$H$63,2,0)</f>
        <v>20 Club Rodamiento - Dlouhá Ivana</v>
      </c>
      <c r="AU18" s="319">
        <f ca="1">VLOOKUP($A18,'KO32'!$G$6:$I$63,3,0)</f>
        <v>0</v>
      </c>
      <c r="BG18" s="326" t="str">
        <f ca="1">VLOOKUP($A18,'KO64'!$G$6:$H$127,2,0)</f>
        <v>16 1. KPK Vrchlabí - Mašek Pavel</v>
      </c>
      <c r="BH18" s="319">
        <f ca="1">VLOOKUP($A18,'KO64'!$G$6:$I$127,3,0)</f>
        <v>11</v>
      </c>
      <c r="BI18" s="326" t="str">
        <f ca="1">VLOOKUP($A18,'KO64'!$K$10:$L$123,2,0)</f>
        <v>20 Club Rodamiento - Dlouhá Ivana</v>
      </c>
      <c r="BJ18" s="319">
        <f ca="1">VLOOKUP($A18,'KO64'!$K$10:$M$123,3,0)</f>
        <v>0</v>
      </c>
    </row>
    <row r="19" spans="1:62">
      <c r="A19" s="2">
        <f t="shared" ca="1" si="0"/>
        <v>17</v>
      </c>
      <c r="B19" s="62" t="str">
        <f t="shared" ca="1" si="4"/>
        <v>20 Club Rodamiento - Dlouhá Ivana</v>
      </c>
      <c r="C19" s="63" t="str">
        <f ca="1">IF(E19&gt;$G$2,"",Nasazení!B19)</f>
        <v>Q1</v>
      </c>
      <c r="D19" s="62" t="str">
        <f ca="1">IF(TYPE(VLOOKUP(C19,Výsledky_skupin!$A$3:$B$130,2,0))&gt;4," -",VLOOKUP(C19,Výsledky_skupin!$A$3:$B$130,2,0))</f>
        <v>20 Club Rodamiento - Dlouhá Ivana</v>
      </c>
      <c r="E19" s="2">
        <v>17</v>
      </c>
      <c r="F19">
        <f t="shared" ca="1" si="1"/>
        <v>0</v>
      </c>
      <c r="BG19" s="326" t="str">
        <f ca="1">VLOOKUP($A19,'KO64'!$G$6:$H$127,2,0)</f>
        <v>20 Club Rodamiento - Dlouhá Ivana</v>
      </c>
      <c r="BH19" s="319">
        <f ca="1">VLOOKUP($A19,'KO64'!$G$6:$I$127,3,0)</f>
        <v>13</v>
      </c>
    </row>
    <row r="20" spans="1:62">
      <c r="A20" s="2">
        <f t="shared" ca="1" si="0"/>
        <v>18</v>
      </c>
      <c r="B20" s="62" t="str">
        <f t="shared" ca="1" si="4"/>
        <v>54 PCP Lipník - Doubrava Antonín</v>
      </c>
      <c r="C20" s="63" t="str">
        <f ca="1">IF(E20&gt;$G$2,"",Nasazení!B20)</f>
        <v>R1</v>
      </c>
      <c r="D20" s="62" t="str">
        <f ca="1">IF(TYPE(VLOOKUP(C20,Výsledky_skupin!$A$3:$B$130,2,0))&gt;4," -",VLOOKUP(C20,Výsledky_skupin!$A$3:$B$130,2,0))</f>
        <v>54 PCP Lipník - Doubrava Antonín</v>
      </c>
      <c r="E20" s="2">
        <v>18</v>
      </c>
      <c r="F20">
        <f t="shared" ca="1" si="1"/>
        <v>0</v>
      </c>
      <c r="BG20" s="326" t="str">
        <f ca="1">VLOOKUP($A20,'KO64'!$G$6:$H$127,2,0)</f>
        <v>54 PCP Lipník - Doubrava Antonín</v>
      </c>
      <c r="BH20" s="319">
        <f ca="1">VLOOKUP($A20,'KO64'!$G$6:$I$127,3,0)</f>
        <v>0</v>
      </c>
    </row>
    <row r="21" spans="1:62">
      <c r="A21" s="2">
        <f t="shared" ca="1" si="0"/>
        <v>20</v>
      </c>
      <c r="B21" s="62" t="str">
        <f t="shared" ca="1" si="4"/>
        <v>55 PCP Lipník - Moucha Luboš</v>
      </c>
      <c r="C21" s="63" t="str">
        <f ca="1">IF(E21&gt;$G$2,"",Nasazení!B21)</f>
        <v>R2</v>
      </c>
      <c r="D21" s="62" t="str">
        <f ca="1">IF(TYPE(VLOOKUP(C21,Výsledky_skupin!$A$3:$B$130,2,0))&gt;4," -",VLOOKUP(C21,Výsledky_skupin!$A$3:$B$130,2,0))</f>
        <v>55 PCP Lipník - Moucha Luboš</v>
      </c>
      <c r="E21" s="2">
        <v>19</v>
      </c>
      <c r="F21">
        <f t="shared" ca="1" si="1"/>
        <v>1</v>
      </c>
      <c r="BG21" s="326" t="str">
        <f ca="1">VLOOKUP($A21,'KO64'!$G$6:$H$127,2,0)</f>
        <v>55 PCP Lipník - Moucha Luboš</v>
      </c>
      <c r="BH21" s="319">
        <f ca="1">VLOOKUP($A21,'KO64'!$G$6:$I$127,3,0)</f>
        <v>1</v>
      </c>
    </row>
    <row r="22" spans="1:62">
      <c r="A22" s="2">
        <f t="shared" ca="1" si="0"/>
        <v>19</v>
      </c>
      <c r="B22" s="62" t="str">
        <f t="shared" ca="1" si="4"/>
        <v>53 CP VARY - Šimek Petr</v>
      </c>
      <c r="C22" s="63" t="str">
        <f ca="1">IF(E22&gt;$G$2,"",Nasazení!B22)</f>
        <v>Q2</v>
      </c>
      <c r="D22" s="62" t="str">
        <f ca="1">IF(TYPE(VLOOKUP(C22,Výsledky_skupin!$A$3:$B$130,2,0))&gt;4," -",VLOOKUP(C22,Výsledky_skupin!$A$3:$B$130,2,0))</f>
        <v>53 CP VARY - Šimek Petr</v>
      </c>
      <c r="E22" s="2">
        <v>20</v>
      </c>
      <c r="F22">
        <f t="shared" ca="1" si="1"/>
        <v>-1</v>
      </c>
      <c r="BG22" s="326" t="str">
        <f ca="1">VLOOKUP($A22,'KO64'!$G$6:$H$127,2,0)</f>
        <v>53 CP VARY - Šimek Petr</v>
      </c>
      <c r="BH22" s="319">
        <f ca="1">VLOOKUP($A22,'KO64'!$G$6:$I$127,3,0)</f>
        <v>6</v>
      </c>
    </row>
    <row r="23" spans="1:62">
      <c r="A23" s="2">
        <f t="shared" ca="1" si="0"/>
        <v>22</v>
      </c>
      <c r="B23" s="62" t="str">
        <f t="shared" ca="1" si="4"/>
        <v>52 CdP Loděnice - Janoš Jiří</v>
      </c>
      <c r="C23" s="63" t="str">
        <f ca="1">IF(E23&gt;$G$2,"",Nasazení!B23)</f>
        <v>P2</v>
      </c>
      <c r="D23" s="62" t="str">
        <f ca="1">IF(TYPE(VLOOKUP(C23,Výsledky_skupin!$A$3:$B$130,2,0))&gt;4," -",VLOOKUP(C23,Výsledky_skupin!$A$3:$B$130,2,0))</f>
        <v>52 CdP Loděnice - Janoš Jiří</v>
      </c>
      <c r="E23" s="2">
        <v>21</v>
      </c>
      <c r="F23">
        <f t="shared" ca="1" si="1"/>
        <v>1</v>
      </c>
      <c r="BG23" s="326" t="str">
        <f ca="1">VLOOKUP($A23,'KO64'!$G$6:$H$127,2,0)</f>
        <v>52 CdP Loděnice - Janoš Jiří</v>
      </c>
      <c r="BH23" s="319">
        <f ca="1">VLOOKUP($A23,'KO64'!$G$6:$I$127,3,0)</f>
        <v>2</v>
      </c>
    </row>
    <row r="24" spans="1:62">
      <c r="A24" s="2">
        <f t="shared" ca="1" si="0"/>
        <v>21</v>
      </c>
      <c r="B24" s="62" t="str">
        <f t="shared" ca="1" si="4"/>
        <v>22 SKP Kulová osma - Zátka Miloslav</v>
      </c>
      <c r="C24" s="63" t="str">
        <f ca="1">IF(E24&gt;$G$2,"",Nasazení!B24)</f>
        <v>O2</v>
      </c>
      <c r="D24" s="62" t="str">
        <f ca="1">IF(TYPE(VLOOKUP(C24,Výsledky_skupin!$A$3:$B$130,2,0))&gt;4," -",VLOOKUP(C24,Výsledky_skupin!$A$3:$B$130,2,0))</f>
        <v>22 SKP Kulová osma - Zátka Miloslav</v>
      </c>
      <c r="E24" s="2">
        <v>22</v>
      </c>
      <c r="F24">
        <f t="shared" ca="1" si="1"/>
        <v>-1</v>
      </c>
      <c r="BG24" s="326" t="str">
        <f ca="1">VLOOKUP($A24,'KO64'!$G$6:$H$127,2,0)</f>
        <v>22 SKP Kulová osma - Zátka Miloslav</v>
      </c>
      <c r="BH24" s="319">
        <f ca="1">VLOOKUP($A24,'KO64'!$G$6:$I$127,3,0)</f>
        <v>1</v>
      </c>
    </row>
    <row r="25" spans="1:62">
      <c r="A25" s="2">
        <f t="shared" ca="1" si="0"/>
        <v>24</v>
      </c>
      <c r="B25" s="62" t="str">
        <f t="shared" ca="1" si="4"/>
        <v>23 Club Rodamiento - Sjögren Magda</v>
      </c>
      <c r="C25" s="63" t="str">
        <f ca="1">IF(E25&gt;$G$2,"",Nasazení!B25)</f>
        <v>N2</v>
      </c>
      <c r="D25" s="62" t="str">
        <f ca="1">IF(TYPE(VLOOKUP(C25,Výsledky_skupin!$A$3:$B$130,2,0))&gt;4," -",VLOOKUP(C25,Výsledky_skupin!$A$3:$B$130,2,0))</f>
        <v>23 Club Rodamiento - Sjögren Magda</v>
      </c>
      <c r="E25" s="2">
        <v>23</v>
      </c>
      <c r="F25">
        <f t="shared" ca="1" si="1"/>
        <v>1</v>
      </c>
      <c r="BG25" s="326" t="str">
        <f ca="1">VLOOKUP($A25,'KO64'!$G$6:$H$127,2,0)</f>
        <v>23 Club Rodamiento - Sjögren Magda</v>
      </c>
      <c r="BH25" s="319">
        <f ca="1">VLOOKUP($A25,'KO64'!$G$6:$I$127,3,0)</f>
        <v>5</v>
      </c>
    </row>
    <row r="26" spans="1:62">
      <c r="A26" s="2">
        <f t="shared" ca="1" si="0"/>
        <v>23</v>
      </c>
      <c r="B26" s="62" t="str">
        <f t="shared" ca="1" si="4"/>
        <v>24 PK Osika Plzeň - Jirkovský Tomáš</v>
      </c>
      <c r="C26" s="63" t="str">
        <f ca="1">IF(E26&gt;$G$2,"",Nasazení!B26)</f>
        <v>M2</v>
      </c>
      <c r="D26" s="62" t="str">
        <f ca="1">IF(TYPE(VLOOKUP(C26,Výsledky_skupin!$A$3:$B$130,2,0))&gt;4," -",VLOOKUP(C26,Výsledky_skupin!$A$3:$B$130,2,0))</f>
        <v>24 PK Osika Plzeň - Jirkovský Tomáš</v>
      </c>
      <c r="E26" s="2">
        <v>24</v>
      </c>
      <c r="F26">
        <f t="shared" ca="1" si="1"/>
        <v>-1</v>
      </c>
      <c r="BG26" s="326" t="str">
        <f ca="1">VLOOKUP($A26,'KO64'!$G$6:$H$127,2,0)</f>
        <v>24 PK Osika Plzeň - Jirkovský Tomáš</v>
      </c>
      <c r="BH26" s="319">
        <f ca="1">VLOOKUP($A26,'KO64'!$G$6:$I$127,3,0)</f>
        <v>9</v>
      </c>
    </row>
    <row r="27" spans="1:62">
      <c r="A27" s="2">
        <f t="shared" ca="1" si="0"/>
        <v>26</v>
      </c>
      <c r="B27" s="62" t="str">
        <f t="shared" ca="1" si="4"/>
        <v>25 PC Sokol Lipník - Mazúr Pavel</v>
      </c>
      <c r="C27" s="63" t="str">
        <f ca="1">IF(E27&gt;$G$2,"",Nasazení!B27)</f>
        <v>L2</v>
      </c>
      <c r="D27" s="62" t="str">
        <f ca="1">IF(TYPE(VLOOKUP(C27,Výsledky_skupin!$A$3:$B$130,2,0))&gt;4," -",VLOOKUP(C27,Výsledky_skupin!$A$3:$B$130,2,0))</f>
        <v>25 PC Sokol Lipník - Mazúr Pavel</v>
      </c>
      <c r="E27" s="2">
        <v>25</v>
      </c>
      <c r="F27">
        <f t="shared" ca="1" si="1"/>
        <v>1</v>
      </c>
      <c r="BG27" s="326" t="str">
        <f ca="1">VLOOKUP($A27,'KO64'!$G$6:$H$127,2,0)</f>
        <v>25 PC Sokol Lipník - Mazúr Pavel</v>
      </c>
      <c r="BH27" s="319">
        <f ca="1">VLOOKUP($A27,'KO64'!$G$6:$I$127,3,0)</f>
        <v>1</v>
      </c>
    </row>
    <row r="28" spans="1:62">
      <c r="A28" s="2">
        <f t="shared" ca="1" si="0"/>
        <v>25</v>
      </c>
      <c r="B28" s="62" t="str">
        <f t="shared" ca="1" si="4"/>
        <v>47 CdP Loděnice - Paták Jan</v>
      </c>
      <c r="C28" s="63" t="str">
        <f ca="1">IF(E28&gt;$G$2,"",Nasazení!B28)</f>
        <v>K2</v>
      </c>
      <c r="D28" s="62" t="str">
        <f ca="1">IF(TYPE(VLOOKUP(C28,Výsledky_skupin!$A$3:$B$130,2,0))&gt;4," -",VLOOKUP(C28,Výsledky_skupin!$A$3:$B$130,2,0))</f>
        <v>47 CdP Loděnice - Paták Jan</v>
      </c>
      <c r="E28" s="2">
        <v>26</v>
      </c>
      <c r="F28">
        <f t="shared" ca="1" si="1"/>
        <v>-1</v>
      </c>
      <c r="BG28" s="326" t="str">
        <f ca="1">VLOOKUP($A28,'KO64'!$G$6:$H$127,2,0)</f>
        <v>47 CdP Loděnice - Paták Jan</v>
      </c>
      <c r="BH28" s="319">
        <f ca="1">VLOOKUP($A28,'KO64'!$G$6:$I$127,3,0)</f>
        <v>5</v>
      </c>
    </row>
    <row r="29" spans="1:62">
      <c r="A29" s="2">
        <f t="shared" ca="1" si="0"/>
        <v>28</v>
      </c>
      <c r="B29" s="62" t="str">
        <f t="shared" ca="1" si="4"/>
        <v>27 PK Osika Plzeň - Mráz Václav</v>
      </c>
      <c r="C29" s="63" t="str">
        <f ca="1">IF(E29&gt;$G$2,"",Nasazení!B29)</f>
        <v>J2</v>
      </c>
      <c r="D29" s="62" t="str">
        <f ca="1">IF(TYPE(VLOOKUP(C29,Výsledky_skupin!$A$3:$B$130,2,0))&gt;4," -",VLOOKUP(C29,Výsledky_skupin!$A$3:$B$130,2,0))</f>
        <v>27 PK Osika Plzeň - Mráz Václav</v>
      </c>
      <c r="E29" s="2">
        <v>27</v>
      </c>
      <c r="F29">
        <f t="shared" ca="1" si="1"/>
        <v>1</v>
      </c>
      <c r="BG29" s="326" t="str">
        <f ca="1">VLOOKUP($A29,'KO64'!$G$6:$H$127,2,0)</f>
        <v>27 PK Osika Plzeň - Mráz Václav</v>
      </c>
      <c r="BH29" s="319">
        <f ca="1">VLOOKUP($A29,'KO64'!$G$6:$I$127,3,0)</f>
        <v>6</v>
      </c>
    </row>
    <row r="30" spans="1:62">
      <c r="A30" s="2">
        <f t="shared" ca="1" si="0"/>
        <v>27</v>
      </c>
      <c r="B30" s="62" t="str">
        <f t="shared" ca="1" si="4"/>
        <v>45 Spolek Park Grébovka - Kremlík Miroslav</v>
      </c>
      <c r="C30" s="63" t="str">
        <f ca="1">IF(E30&gt;$G$2,"",Nasazení!B30)</f>
        <v>I2</v>
      </c>
      <c r="D30" s="62" t="str">
        <f ca="1">IF(TYPE(VLOOKUP(C30,Výsledky_skupin!$A$3:$B$130,2,0))&gt;4," -",VLOOKUP(C30,Výsledky_skupin!$A$3:$B$130,2,0))</f>
        <v>45 Spolek Park Grébovka - Kremlík Miroslav</v>
      </c>
      <c r="E30" s="2">
        <v>28</v>
      </c>
      <c r="F30">
        <f t="shared" ca="1" si="1"/>
        <v>-1</v>
      </c>
      <c r="BG30" s="326" t="str">
        <f ca="1">VLOOKUP($A30,'KO64'!$G$6:$H$127,2,0)</f>
        <v>45 Spolek Park Grébovka - Kremlík Miroslav</v>
      </c>
      <c r="BH30" s="319">
        <f ca="1">VLOOKUP($A30,'KO64'!$G$6:$I$127,3,0)</f>
        <v>0</v>
      </c>
    </row>
    <row r="31" spans="1:62">
      <c r="A31" s="2">
        <f t="shared" ca="1" si="0"/>
        <v>30</v>
      </c>
      <c r="B31" s="62" t="str">
        <f t="shared" ca="1" si="4"/>
        <v>8 PLUK Jablonec - Lukáš Vojtěch</v>
      </c>
      <c r="C31" s="63" t="str">
        <f ca="1">IF(E31&gt;$G$2,"",Nasazení!B31)</f>
        <v>H2</v>
      </c>
      <c r="D31" s="62" t="str">
        <f ca="1">IF(TYPE(VLOOKUP(C31,Výsledky_skupin!$A$3:$B$130,2,0))&gt;4," -",VLOOKUP(C31,Výsledky_skupin!$A$3:$B$130,2,0))</f>
        <v>8 PLUK Jablonec - Lukáš Vojtěch</v>
      </c>
      <c r="E31" s="2">
        <v>29</v>
      </c>
      <c r="F31">
        <f t="shared" ca="1" si="1"/>
        <v>1</v>
      </c>
      <c r="BG31" s="326" t="str">
        <f ca="1">VLOOKUP($A31,'KO64'!$G$6:$H$127,2,0)</f>
        <v>8 PLUK Jablonec - Lukáš Vojtěch</v>
      </c>
      <c r="BH31" s="319">
        <f ca="1">VLOOKUP($A31,'KO64'!$G$6:$I$127,3,0)</f>
        <v>7</v>
      </c>
    </row>
    <row r="32" spans="1:62">
      <c r="A32" s="2">
        <f t="shared" ca="1" si="0"/>
        <v>29</v>
      </c>
      <c r="B32" s="62" t="str">
        <f t="shared" ca="1" si="4"/>
        <v>43 SK Španielka Řepy - Řezník Alois</v>
      </c>
      <c r="C32" s="63" t="str">
        <f ca="1">IF(E32&gt;$G$2,"",Nasazení!B32)</f>
        <v>G2</v>
      </c>
      <c r="D32" s="62" t="str">
        <f ca="1">IF(TYPE(VLOOKUP(C32,Výsledky_skupin!$A$3:$B$130,2,0))&gt;4," -",VLOOKUP(C32,Výsledky_skupin!$A$3:$B$130,2,0))</f>
        <v>43 SK Španielka Řepy - Řezník Alois</v>
      </c>
      <c r="E32" s="2">
        <v>30</v>
      </c>
      <c r="F32">
        <f t="shared" ca="1" si="1"/>
        <v>-1</v>
      </c>
      <c r="BG32" s="326" t="str">
        <f ca="1">VLOOKUP($A32,'KO64'!$G$6:$H$127,2,0)</f>
        <v>43 SK Španielka Řepy - Řezník Alois</v>
      </c>
      <c r="BH32" s="319">
        <f ca="1">VLOOKUP($A32,'KO64'!$G$6:$I$127,3,0)</f>
        <v>2</v>
      </c>
    </row>
    <row r="33" spans="1:60">
      <c r="A33" s="2">
        <f t="shared" ca="1" si="0"/>
        <v>32</v>
      </c>
      <c r="B33" s="62" t="str">
        <f t="shared" ca="1" si="4"/>
        <v>42 SK Španielka Řepy - Pastorek Jaroslav</v>
      </c>
      <c r="C33" s="63" t="str">
        <f ca="1">IF(E33&gt;$G$2,"",Nasazení!B33)</f>
        <v>F2</v>
      </c>
      <c r="D33" s="62" t="str">
        <f ca="1">IF(TYPE(VLOOKUP(C33,Výsledky_skupin!$A$3:$B$130,2,0))&gt;4," -",VLOOKUP(C33,Výsledky_skupin!$A$3:$B$130,2,0))</f>
        <v>42 SK Španielka Řepy - Pastorek Jaroslav</v>
      </c>
      <c r="E33" s="2">
        <v>31</v>
      </c>
      <c r="F33">
        <f t="shared" ca="1" si="1"/>
        <v>1</v>
      </c>
      <c r="BG33" s="326" t="str">
        <f ca="1">VLOOKUP($A33,'KO64'!$G$6:$H$127,2,0)</f>
        <v>3 PC Sokol Lipník - Fafek Petr</v>
      </c>
      <c r="BH33" s="319">
        <f ca="1">VLOOKUP($A33,'KO64'!$G$6:$I$127,3,0)</f>
        <v>13</v>
      </c>
    </row>
    <row r="34" spans="1:60">
      <c r="A34" s="2">
        <f t="shared" ca="1" si="0"/>
        <v>31</v>
      </c>
      <c r="B34" s="62" t="str">
        <f t="shared" ca="1" si="4"/>
        <v>5 CdP Loděnice - Marhoul Jan</v>
      </c>
      <c r="C34" s="63" t="str">
        <f ca="1">IF(E34&gt;$G$2,"",Nasazení!B34)</f>
        <v>E2</v>
      </c>
      <c r="D34" s="62" t="str">
        <f ca="1">IF(TYPE(VLOOKUP(C34,Výsledky_skupin!$A$3:$B$130,2,0))&gt;4," -",VLOOKUP(C34,Výsledky_skupin!$A$3:$B$130,2,0))</f>
        <v>5 CdP Loděnice - Marhoul Jan</v>
      </c>
      <c r="E34" s="2">
        <v>32</v>
      </c>
      <c r="F34">
        <f ca="1">IF(E34&gt;$E$2,IF($F$2&gt;0,IF(MOD(E34,2)=0,-1,1),0),0)</f>
        <v>-1</v>
      </c>
      <c r="BG34" s="326" t="str">
        <f ca="1">VLOOKUP($A34,'KO64'!$G$6:$H$127,2,0)</f>
        <v>5 CdP Loděnice - Marhoul Jan</v>
      </c>
      <c r="BH34" s="319">
        <f ca="1">VLOOKUP($A34,'KO64'!$G$6:$I$127,3,0)</f>
        <v>5</v>
      </c>
    </row>
    <row r="35" spans="1:60">
      <c r="A35" s="2">
        <f t="shared" ca="1" si="0"/>
        <v>34</v>
      </c>
      <c r="B35" s="62" t="str">
        <f t="shared" ca="1" si="4"/>
        <v>33 PEK Stolín - Hájková Iveta</v>
      </c>
      <c r="C35" s="63" t="str">
        <f ca="1">IF(E35&gt;$G$2,"",Nasazení!B35)</f>
        <v>D2</v>
      </c>
      <c r="D35" s="62" t="str">
        <f ca="1">IF(TYPE(VLOOKUP(C35,Výsledky_skupin!$A$3:$B$130,2,0))&gt;4," -",VLOOKUP(C35,Výsledky_skupin!$A$3:$B$130,2,0))</f>
        <v>33 PEK Stolín - Hájková Iveta</v>
      </c>
      <c r="E35" s="2">
        <v>33</v>
      </c>
      <c r="F35">
        <f t="shared" ca="1" si="1"/>
        <v>1</v>
      </c>
    </row>
    <row r="36" spans="1:60">
      <c r="A36" s="2">
        <f t="shared" ca="1" si="0"/>
        <v>33</v>
      </c>
      <c r="B36" s="62" t="str">
        <f t="shared" ca="1" si="4"/>
        <v>3 PC Sokol Lipník - Fafek Petr</v>
      </c>
      <c r="C36" s="63" t="str">
        <f ca="1">IF(E36&gt;$G$2,"",Nasazení!B36)</f>
        <v>C2</v>
      </c>
      <c r="D36" s="62" t="str">
        <f ca="1">IF(TYPE(VLOOKUP(C36,Výsledky_skupin!$A$3:$B$130,2,0))&gt;4," -",VLOOKUP(C36,Výsledky_skupin!$A$3:$B$130,2,0))</f>
        <v>3 PC Sokol Lipník - Fafek Petr</v>
      </c>
      <c r="E36" s="2">
        <v>34</v>
      </c>
      <c r="F36">
        <f t="shared" ca="1" si="1"/>
        <v>-1</v>
      </c>
    </row>
    <row r="37" spans="1:60">
      <c r="A37" s="2">
        <f t="shared" ca="1" si="0"/>
        <v>36</v>
      </c>
      <c r="B37" s="62" t="str">
        <f t="shared" ca="1" si="4"/>
        <v>35 SKP Kulová osma - Slapnička Václav</v>
      </c>
      <c r="C37" s="63" t="str">
        <f ca="1">IF(E37&gt;$G$2,"",Nasazení!B37)</f>
        <v>B2</v>
      </c>
      <c r="D37" s="62" t="str">
        <f ca="1">IF(TYPE(VLOOKUP(C37,Výsledky_skupin!$A$3:$B$130,2,0))&gt;4," -",VLOOKUP(C37,Výsledky_skupin!$A$3:$B$130,2,0))</f>
        <v>35 SKP Kulová osma - Slapnička Václav</v>
      </c>
      <c r="E37" s="2">
        <v>35</v>
      </c>
      <c r="F37">
        <f t="shared" ca="1" si="1"/>
        <v>1</v>
      </c>
    </row>
    <row r="38" spans="1:60">
      <c r="A38" s="2">
        <f t="shared" ca="1" si="0"/>
        <v>35</v>
      </c>
      <c r="B38" s="62" t="str">
        <f t="shared" ca="1" si="4"/>
        <v>37 PEK Stolín - Mallat Oldřich</v>
      </c>
      <c r="C38" s="63" t="str">
        <f ca="1">IF(E38&gt;$G$2,"",Nasazení!B38)</f>
        <v>A2</v>
      </c>
      <c r="D38" s="62" t="str">
        <f ca="1">IF(TYPE(VLOOKUP(C38,Výsledky_skupin!$A$3:$B$130,2,0))&gt;4," -",VLOOKUP(C38,Výsledky_skupin!$A$3:$B$130,2,0))</f>
        <v>37 PEK Stolín - Mallat Oldřich</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1</v>
      </c>
      <c r="F3">
        <f t="shared" ca="1" si="2"/>
        <v>1</v>
      </c>
      <c r="G3">
        <f t="shared" ca="1" si="2"/>
        <v>1</v>
      </c>
      <c r="H3">
        <f t="shared" ca="1" si="2"/>
        <v>1</v>
      </c>
      <c r="I3">
        <f t="shared" ca="1" si="2"/>
        <v>1</v>
      </c>
      <c r="J3">
        <f t="shared" ca="1" si="2"/>
        <v>2</v>
      </c>
      <c r="K3">
        <f t="shared" ca="1" si="2"/>
        <v>2</v>
      </c>
      <c r="L3">
        <f t="shared" ca="1" si="2"/>
        <v>2</v>
      </c>
      <c r="M3">
        <f t="shared" ca="1" si="2"/>
        <v>2</v>
      </c>
      <c r="N3">
        <f t="shared" ca="1" si="2"/>
        <v>2</v>
      </c>
      <c r="O3">
        <f t="shared" ca="1" si="2"/>
        <v>2</v>
      </c>
      <c r="P3">
        <f t="shared" ca="1" si="2"/>
        <v>2</v>
      </c>
      <c r="Q3">
        <f t="shared" ca="1" si="2"/>
        <v>2</v>
      </c>
      <c r="R3">
        <f t="shared" ca="1" si="2"/>
        <v>2</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5</v>
      </c>
      <c r="F4">
        <f t="shared" ca="1" si="3"/>
        <v>6</v>
      </c>
      <c r="G4">
        <f t="shared" ca="1" si="3"/>
        <v>7</v>
      </c>
      <c r="H4">
        <f t="shared" ca="1" si="3"/>
        <v>8</v>
      </c>
      <c r="I4">
        <f t="shared" ca="1" si="3"/>
        <v>9</v>
      </c>
      <c r="J4">
        <f t="shared" ca="1" si="3"/>
        <v>10</v>
      </c>
      <c r="K4">
        <f ca="1">IF(OR(K2=0,J5=0),0,J5+1)</f>
        <v>12</v>
      </c>
      <c r="L4">
        <f t="shared" ref="L4:AF4" ca="1" si="4">IF(OR(L2=0,K5=0),0,K5+1)</f>
        <v>14</v>
      </c>
      <c r="M4">
        <f t="shared" ca="1" si="4"/>
        <v>16</v>
      </c>
      <c r="N4">
        <f t="shared" ca="1" si="4"/>
        <v>18</v>
      </c>
      <c r="O4">
        <f t="shared" ca="1" si="4"/>
        <v>20</v>
      </c>
      <c r="P4">
        <f t="shared" ca="1" si="4"/>
        <v>22</v>
      </c>
      <c r="Q4">
        <f t="shared" ca="1" si="4"/>
        <v>24</v>
      </c>
      <c r="R4">
        <f t="shared" ca="1" si="4"/>
        <v>26</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5</v>
      </c>
      <c r="F5">
        <f t="shared" ca="1" si="5"/>
        <v>6</v>
      </c>
      <c r="G5">
        <f t="shared" ca="1" si="5"/>
        <v>7</v>
      </c>
      <c r="H5">
        <f t="shared" ca="1" si="5"/>
        <v>8</v>
      </c>
      <c r="I5">
        <f t="shared" ca="1" si="5"/>
        <v>9</v>
      </c>
      <c r="J5">
        <f t="shared" ca="1" si="5"/>
        <v>11</v>
      </c>
      <c r="K5">
        <f t="shared" ca="1" si="5"/>
        <v>13</v>
      </c>
      <c r="L5">
        <f t="shared" ca="1" si="5"/>
        <v>15</v>
      </c>
      <c r="M5">
        <f t="shared" ca="1" si="5"/>
        <v>17</v>
      </c>
      <c r="N5">
        <f t="shared" ca="1" si="5"/>
        <v>19</v>
      </c>
      <c r="O5">
        <f t="shared" ca="1" si="5"/>
        <v>21</v>
      </c>
      <c r="P5">
        <f t="shared" ca="1" si="5"/>
        <v>23</v>
      </c>
      <c r="Q5">
        <f t="shared" ca="1" si="5"/>
        <v>25</v>
      </c>
      <c r="R5">
        <f t="shared" ca="1" si="5"/>
        <v>27</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4" t="s">
        <v>446</v>
      </c>
      <c r="D9" s="514"/>
      <c r="E9" s="515"/>
    </row>
    <row r="10" spans="1:32">
      <c r="A10" s="2" t="s">
        <v>444</v>
      </c>
      <c r="B10" s="2" t="s">
        <v>445</v>
      </c>
    </row>
    <row r="11" spans="1:32">
      <c r="A11" s="2" t="s">
        <v>83</v>
      </c>
      <c r="B11" s="2">
        <v>1</v>
      </c>
      <c r="C11" s="385">
        <f t="shared" ref="C11:C42" ca="1" si="6">999999*RAND()</f>
        <v>445034.50000104361</v>
      </c>
      <c r="D11" s="2"/>
      <c r="E11" s="384" t="str">
        <f t="shared" ref="E11:E42" si="7">IF(D11+$E$8-1=0,"",D11+$E$8-1)</f>
        <v/>
      </c>
    </row>
    <row r="12" spans="1:32">
      <c r="A12" s="2" t="s">
        <v>84</v>
      </c>
      <c r="B12" s="2">
        <v>2</v>
      </c>
      <c r="C12" s="385">
        <f t="shared" ca="1" si="6"/>
        <v>705471.18276161014</v>
      </c>
      <c r="D12" s="2"/>
      <c r="E12" s="384" t="str">
        <f t="shared" si="7"/>
        <v/>
      </c>
    </row>
    <row r="13" spans="1:32">
      <c r="A13" s="2" t="s">
        <v>118</v>
      </c>
      <c r="B13" s="2">
        <v>3</v>
      </c>
      <c r="C13" s="385">
        <f t="shared" ca="1" si="6"/>
        <v>519178.58634830924</v>
      </c>
      <c r="D13" s="2"/>
      <c r="E13" s="384" t="str">
        <f t="shared" si="7"/>
        <v/>
      </c>
    </row>
    <row r="14" spans="1:32">
      <c r="A14" s="2" t="s">
        <v>85</v>
      </c>
      <c r="B14" s="2">
        <v>4</v>
      </c>
      <c r="C14" s="385">
        <f t="shared" ca="1" si="6"/>
        <v>336725.00909849367</v>
      </c>
      <c r="D14" s="2"/>
      <c r="E14" s="384" t="str">
        <f t="shared" si="7"/>
        <v/>
      </c>
    </row>
    <row r="15" spans="1:32">
      <c r="A15" s="2" t="s">
        <v>86</v>
      </c>
      <c r="B15" s="2">
        <v>5</v>
      </c>
      <c r="C15" s="385">
        <f t="shared" ca="1" si="6"/>
        <v>29541.667656023732</v>
      </c>
      <c r="D15" s="2"/>
      <c r="E15" s="384" t="str">
        <f t="shared" si="7"/>
        <v/>
      </c>
    </row>
    <row r="16" spans="1:32">
      <c r="A16" s="2" t="s">
        <v>87</v>
      </c>
      <c r="B16" s="2">
        <v>6</v>
      </c>
      <c r="C16" s="385">
        <f t="shared" ca="1" si="6"/>
        <v>408317.75619649515</v>
      </c>
      <c r="D16" s="2"/>
      <c r="E16" s="384" t="str">
        <f t="shared" si="7"/>
        <v/>
      </c>
    </row>
    <row r="17" spans="1:5">
      <c r="A17" s="2" t="s">
        <v>88</v>
      </c>
      <c r="B17" s="2">
        <v>7</v>
      </c>
      <c r="C17" s="385">
        <f t="shared" ca="1" si="6"/>
        <v>648849.88311141974</v>
      </c>
      <c r="D17" s="2"/>
      <c r="E17" s="384" t="str">
        <f t="shared" si="7"/>
        <v/>
      </c>
    </row>
    <row r="18" spans="1:5">
      <c r="A18" s="2" t="s">
        <v>89</v>
      </c>
      <c r="B18" s="2">
        <v>8</v>
      </c>
      <c r="C18" s="385">
        <f t="shared" ca="1" si="6"/>
        <v>910675.31291183876</v>
      </c>
      <c r="D18" s="2"/>
      <c r="E18" s="384" t="str">
        <f t="shared" si="7"/>
        <v/>
      </c>
    </row>
    <row r="19" spans="1:5">
      <c r="A19" s="2" t="s">
        <v>90</v>
      </c>
      <c r="B19" s="2">
        <v>9</v>
      </c>
      <c r="C19" s="385">
        <f t="shared" ca="1" si="6"/>
        <v>459636.33008377335</v>
      </c>
      <c r="D19" s="2"/>
      <c r="E19" s="384" t="str">
        <f t="shared" si="7"/>
        <v/>
      </c>
    </row>
    <row r="20" spans="1:5">
      <c r="A20" s="2" t="s">
        <v>91</v>
      </c>
      <c r="B20" s="2">
        <v>10</v>
      </c>
      <c r="C20" s="385">
        <f t="shared" ca="1" si="6"/>
        <v>635885.38847756491</v>
      </c>
      <c r="D20" s="2"/>
      <c r="E20" s="384" t="str">
        <f t="shared" si="7"/>
        <v/>
      </c>
    </row>
    <row r="21" spans="1:5">
      <c r="A21" s="2" t="s">
        <v>92</v>
      </c>
      <c r="B21" s="2">
        <v>11</v>
      </c>
      <c r="C21" s="385">
        <f t="shared" ca="1" si="6"/>
        <v>10084.218851601339</v>
      </c>
      <c r="D21" s="2"/>
      <c r="E21" s="384" t="str">
        <f t="shared" si="7"/>
        <v/>
      </c>
    </row>
    <row r="22" spans="1:5">
      <c r="A22" s="2" t="s">
        <v>93</v>
      </c>
      <c r="B22" s="2">
        <v>12</v>
      </c>
      <c r="C22" s="385">
        <f t="shared" ca="1" si="6"/>
        <v>851249.72443862143</v>
      </c>
      <c r="D22" s="2"/>
      <c r="E22" s="384" t="str">
        <f t="shared" si="7"/>
        <v/>
      </c>
    </row>
    <row r="23" spans="1:5">
      <c r="A23" s="2" t="s">
        <v>94</v>
      </c>
      <c r="B23" s="2">
        <v>13</v>
      </c>
      <c r="C23" s="385">
        <f t="shared" ca="1" si="6"/>
        <v>702713.41988558602</v>
      </c>
      <c r="D23" s="2"/>
      <c r="E23" s="384" t="str">
        <f t="shared" si="7"/>
        <v/>
      </c>
    </row>
    <row r="24" spans="1:5">
      <c r="A24" s="2" t="s">
        <v>95</v>
      </c>
      <c r="B24" s="2">
        <v>14</v>
      </c>
      <c r="C24" s="385">
        <f t="shared" ca="1" si="6"/>
        <v>936122.8835680976</v>
      </c>
      <c r="D24" s="2"/>
      <c r="E24" s="384" t="str">
        <f t="shared" si="7"/>
        <v/>
      </c>
    </row>
    <row r="25" spans="1:5">
      <c r="A25" s="2" t="s">
        <v>96</v>
      </c>
      <c r="B25" s="2">
        <v>15</v>
      </c>
      <c r="C25" s="385">
        <f t="shared" ca="1" si="6"/>
        <v>74874.96364151212</v>
      </c>
      <c r="D25" s="2"/>
      <c r="E25" s="384" t="str">
        <f t="shared" si="7"/>
        <v/>
      </c>
    </row>
    <row r="26" spans="1:5">
      <c r="A26" s="2" t="s">
        <v>97</v>
      </c>
      <c r="B26" s="2">
        <v>16</v>
      </c>
      <c r="C26" s="385">
        <f t="shared" ca="1" si="6"/>
        <v>625430.73949660396</v>
      </c>
      <c r="D26" s="2"/>
      <c r="E26" s="384" t="str">
        <f t="shared" si="7"/>
        <v/>
      </c>
    </row>
    <row r="27" spans="1:5">
      <c r="A27" s="2" t="s">
        <v>98</v>
      </c>
      <c r="B27" s="2">
        <v>17</v>
      </c>
      <c r="C27" s="385">
        <f t="shared" ca="1" si="6"/>
        <v>224510.9753975863</v>
      </c>
      <c r="D27" s="2"/>
      <c r="E27" s="384" t="str">
        <f t="shared" si="7"/>
        <v/>
      </c>
    </row>
    <row r="28" spans="1:5">
      <c r="A28" s="2" t="s">
        <v>99</v>
      </c>
      <c r="B28" s="2">
        <v>18</v>
      </c>
      <c r="C28" s="385">
        <f t="shared" ca="1" si="6"/>
        <v>459406.02676175127</v>
      </c>
      <c r="D28" s="2"/>
      <c r="E28" s="384" t="str">
        <f t="shared" si="7"/>
        <v/>
      </c>
    </row>
    <row r="29" spans="1:5">
      <c r="A29" s="2" t="s">
        <v>100</v>
      </c>
      <c r="B29" s="2">
        <v>19</v>
      </c>
      <c r="C29" s="385">
        <f t="shared" ca="1" si="6"/>
        <v>554764.72870582319</v>
      </c>
      <c r="D29" s="2"/>
      <c r="E29" s="384" t="str">
        <f t="shared" si="7"/>
        <v/>
      </c>
    </row>
    <row r="30" spans="1:5">
      <c r="A30" s="2" t="s">
        <v>101</v>
      </c>
      <c r="B30" s="2">
        <v>20</v>
      </c>
      <c r="C30" s="385">
        <f t="shared" ca="1" si="6"/>
        <v>192170.54808483607</v>
      </c>
      <c r="D30" s="2"/>
      <c r="E30" s="384" t="str">
        <f t="shared" si="7"/>
        <v/>
      </c>
    </row>
    <row r="31" spans="1:5">
      <c r="A31" s="2" t="s">
        <v>102</v>
      </c>
      <c r="B31" s="2">
        <v>21</v>
      </c>
      <c r="C31" s="385">
        <f t="shared" ca="1" si="6"/>
        <v>832914.84917906683</v>
      </c>
      <c r="D31" s="2"/>
      <c r="E31" s="384" t="str">
        <f t="shared" si="7"/>
        <v/>
      </c>
    </row>
    <row r="32" spans="1:5">
      <c r="A32" s="2" t="s">
        <v>103</v>
      </c>
      <c r="B32" s="2">
        <v>22</v>
      </c>
      <c r="C32" s="385">
        <f t="shared" ca="1" si="6"/>
        <v>296239.78377872007</v>
      </c>
      <c r="D32" s="2"/>
      <c r="E32" s="384" t="str">
        <f t="shared" si="7"/>
        <v/>
      </c>
    </row>
    <row r="33" spans="1:5">
      <c r="A33" s="2" t="s">
        <v>104</v>
      </c>
      <c r="B33" s="2">
        <v>23</v>
      </c>
      <c r="C33" s="385">
        <f t="shared" ca="1" si="6"/>
        <v>68693.909957271389</v>
      </c>
      <c r="D33" s="2"/>
      <c r="E33" s="384" t="str">
        <f t="shared" si="7"/>
        <v/>
      </c>
    </row>
    <row r="34" spans="1:5">
      <c r="A34" s="2" t="s">
        <v>105</v>
      </c>
      <c r="B34" s="2">
        <v>24</v>
      </c>
      <c r="C34" s="385">
        <f t="shared" ca="1" si="6"/>
        <v>902776.58902930247</v>
      </c>
      <c r="D34" s="2"/>
      <c r="E34" s="384" t="str">
        <f t="shared" si="7"/>
        <v/>
      </c>
    </row>
    <row r="35" spans="1:5">
      <c r="A35" s="2" t="s">
        <v>106</v>
      </c>
      <c r="B35" s="2">
        <v>25</v>
      </c>
      <c r="C35" s="385">
        <f t="shared" ca="1" si="6"/>
        <v>768827.99498094944</v>
      </c>
      <c r="D35" s="2"/>
      <c r="E35" s="384" t="str">
        <f t="shared" si="7"/>
        <v/>
      </c>
    </row>
    <row r="36" spans="1:5">
      <c r="A36" s="2" t="s">
        <v>107</v>
      </c>
      <c r="B36" s="2">
        <v>26</v>
      </c>
      <c r="C36" s="385">
        <f t="shared" ca="1" si="6"/>
        <v>124125.36752577609</v>
      </c>
      <c r="D36" s="2"/>
      <c r="E36" s="384" t="str">
        <f t="shared" si="7"/>
        <v/>
      </c>
    </row>
    <row r="37" spans="1:5">
      <c r="A37" s="2" t="s">
        <v>81</v>
      </c>
      <c r="B37" s="2">
        <v>27</v>
      </c>
      <c r="C37" s="385">
        <f t="shared" ca="1" si="6"/>
        <v>720910.70330853597</v>
      </c>
      <c r="D37" s="2"/>
      <c r="E37" s="384" t="str">
        <f t="shared" si="7"/>
        <v/>
      </c>
    </row>
    <row r="38" spans="1:5">
      <c r="A38" s="2" t="s">
        <v>108</v>
      </c>
      <c r="B38" s="2">
        <v>28</v>
      </c>
      <c r="C38" s="385">
        <f t="shared" ca="1" si="6"/>
        <v>90624.039172347359</v>
      </c>
      <c r="D38" s="2"/>
      <c r="E38" s="384" t="str">
        <f t="shared" si="7"/>
        <v/>
      </c>
    </row>
    <row r="39" spans="1:5">
      <c r="A39" s="2" t="s">
        <v>109</v>
      </c>
      <c r="B39" s="2">
        <v>29</v>
      </c>
      <c r="C39" s="385">
        <f t="shared" ca="1" si="6"/>
        <v>893418.47644619632</v>
      </c>
      <c r="D39" s="2"/>
      <c r="E39" s="384" t="str">
        <f t="shared" si="7"/>
        <v/>
      </c>
    </row>
    <row r="40" spans="1:5">
      <c r="A40" s="2" t="s">
        <v>110</v>
      </c>
      <c r="B40" s="2">
        <v>30</v>
      </c>
      <c r="C40" s="385">
        <f t="shared" ca="1" si="6"/>
        <v>985013.02837584575</v>
      </c>
      <c r="D40" s="2"/>
      <c r="E40" s="384" t="str">
        <f t="shared" si="7"/>
        <v/>
      </c>
    </row>
    <row r="41" spans="1:5">
      <c r="A41" s="2" t="s">
        <v>111</v>
      </c>
      <c r="B41" s="2">
        <v>31</v>
      </c>
      <c r="C41" s="385">
        <f t="shared" ca="1" si="6"/>
        <v>718355.13501156156</v>
      </c>
      <c r="D41" s="2"/>
      <c r="E41" s="384" t="str">
        <f t="shared" si="7"/>
        <v/>
      </c>
    </row>
    <row r="42" spans="1:5">
      <c r="A42" s="2" t="s">
        <v>112</v>
      </c>
      <c r="B42" s="2">
        <v>32</v>
      </c>
      <c r="C42" s="385">
        <f t="shared" ca="1" si="6"/>
        <v>912671.85176846979</v>
      </c>
      <c r="D42" s="2"/>
      <c r="E42" s="384" t="str">
        <f t="shared" si="7"/>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110" activePane="bottomRight" state="frozen"/>
      <selection pane="topRight"/>
      <selection pane="bottomLeft"/>
      <selection pane="bottomRight" activeCell="M124" sqref="M124"/>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PC Sokol Lipník - Vavrovič Petr ml.</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PC Sokol Lipník - Vavrovič Petr ml.</v>
      </c>
      <c r="I6" s="157">
        <v>4</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3 PC Sokol Lipník - Fafek Petr</v>
      </c>
      <c r="I7" s="158">
        <v>13</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C2</v>
      </c>
      <c r="B8" s="183"/>
      <c r="C8" s="110">
        <v>33</v>
      </c>
      <c r="D8" s="111" t="str">
        <f ca="1">VLOOKUP(C8,Postupy!$A$3:$B$66,2,0)</f>
        <v>3 PC Sokol Lipník - Fafek Petr</v>
      </c>
      <c r="E8" s="157">
        <v>1</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F2</v>
      </c>
      <c r="B9" s="183"/>
      <c r="C9" s="112">
        <v>32</v>
      </c>
      <c r="D9" s="113" t="str">
        <f ca="1">VLOOKUP(C9,Postupy!$A$3:$B$66,2,0)</f>
        <v>42 SK Španielka Řepy - Pastorek Jaroslav</v>
      </c>
      <c r="E9" s="158">
        <v>0</v>
      </c>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3 PC Sokol Lipník - Fafek Petr</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20 Club Rodamiento - Dlouhá Ivana</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20 Club Rodamiento - Dlouhá Ivana</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20 Club Rodamiento - Dlouhá Ivana</v>
      </c>
      <c r="I14" s="157">
        <v>13</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16 1. KPK Vrchlabí - Mašek Pavel</v>
      </c>
      <c r="I15" s="158">
        <v>11</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1. KPK Vrchlabí - Mašek Pavel</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28 UBU Únětice - Kot Pavel</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28 UBU Únětice - Kot Pavel</v>
      </c>
      <c r="I22" s="157">
        <v>10</v>
      </c>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23 Club Rodamiento - Sjögren Magda</v>
      </c>
      <c r="I23" s="158">
        <v>5</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N2</v>
      </c>
      <c r="B25" s="183"/>
      <c r="C25" s="112">
        <v>24</v>
      </c>
      <c r="D25" s="113" t="str">
        <f ca="1">VLOOKUP(C25,Postupy!$A$3:$B$66,2,0)</f>
        <v>23 Club Rodamiento - Sjögren Magda</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28 UBU Únětice - Kot Pavel</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44 Spolek Park Grébovka - Nepomucký Jaroslav</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K2</v>
      </c>
      <c r="B28" s="183"/>
      <c r="C28" s="110">
        <v>25</v>
      </c>
      <c r="D28" s="111" t="str">
        <f ca="1">VLOOKUP(C28,Postupy!$A$3:$B$66,2,0)</f>
        <v>47 CdP Loděnice - Paták Jan</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47 CdP Loděnice - Paták Jan</v>
      </c>
      <c r="I30" s="157">
        <v>5</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44 Spolek Park Grébovka - Nepomucký Jaroslav</v>
      </c>
      <c r="I31" s="158">
        <v>8</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44 Spolek Park Grébovka - Nepomucký Jaroslav</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32 PK Osika Plzeň - Radoušová Jana</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32 PK Osika Plzeň - Radoušová Jana</v>
      </c>
      <c r="I38" s="157">
        <v>13</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27 PK Osika Plzeň - Mráz Václav</v>
      </c>
      <c r="I39" s="158">
        <v>6</v>
      </c>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J2</v>
      </c>
      <c r="B41" s="183"/>
      <c r="C41" s="112">
        <v>28</v>
      </c>
      <c r="D41" s="113" t="str">
        <f ca="1">VLOOKUP(C41,Postupy!$A$3:$B$66,2,0)</f>
        <v>27 PK Osika Plzeň - Mráz Václav</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32 PK Osika Plzeň - Radoušová Jana</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22 SKP Kulová osma - Zátka Miloslav</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O2</v>
      </c>
      <c r="B44" s="183"/>
      <c r="C44" s="110">
        <v>21</v>
      </c>
      <c r="D44" s="111" t="str">
        <f ca="1">VLOOKUP(C44,Postupy!$A$3:$B$66,2,0)</f>
        <v>22 SKP Kulová osma - Zátka Miloslav</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22 SKP Kulová osma - Zátka Miloslav</v>
      </c>
      <c r="I46" s="157">
        <v>1</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12 SKP Kulová osma - Chmelař Ivo</v>
      </c>
      <c r="I47" s="158">
        <v>0</v>
      </c>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12 SKP Kulová osma - Chmelař Ivo</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PC Kolová - Plucar Petr</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PC Kolová - Plucar Petr</v>
      </c>
      <c r="I54" s="157">
        <v>13</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55 PCP Lipník - Moucha Luboš</v>
      </c>
      <c r="I55" s="158">
        <v>1</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R2</v>
      </c>
      <c r="B57" s="183"/>
      <c r="C57" s="112">
        <v>20</v>
      </c>
      <c r="D57" s="113" t="str">
        <f ca="1">VLOOKUP(C57,Postupy!$A$3:$B$66,2,0)</f>
        <v>55 PCP Lipník - Moucha Luboš</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13 PC Kolová - Plucar Petr</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PC Kolová - Kauca Jindřich</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G2</v>
      </c>
      <c r="B60" s="183"/>
      <c r="C60" s="110">
        <v>29</v>
      </c>
      <c r="D60" s="111" t="str">
        <f ca="1">VLOOKUP(C60,Postupy!$A$3:$B$66,2,0)</f>
        <v>43 SK Španielka Řepy - Řezník Alois</v>
      </c>
      <c r="E60" s="157">
        <v>13</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B2</v>
      </c>
      <c r="B61" s="183"/>
      <c r="C61" s="112">
        <v>36</v>
      </c>
      <c r="D61" s="113" t="str">
        <f ca="1">VLOOKUP(C61,Postupy!$A$3:$B$66,2,0)</f>
        <v>35 SKP Kulová osma - Slapnička Václav</v>
      </c>
      <c r="E61" s="158">
        <v>12</v>
      </c>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43 SK Španielka Řepy - Řezník Alois</v>
      </c>
      <c r="I62" s="157">
        <v>2</v>
      </c>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PC Kolová - Kauca Jindřich</v>
      </c>
      <c r="I63" s="158">
        <v>13</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PC Kolová - Kauca Jindřich</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34 PK Osika Plzeň - Špitálský Milan</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34 PK Osika Plzeň - Špitálský Milan</v>
      </c>
      <c r="I70" s="157">
        <v>13</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8 PLUK Jablonec - Lukáš Vojtěch</v>
      </c>
      <c r="I71" s="158">
        <v>7</v>
      </c>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A2</v>
      </c>
      <c r="B72" s="183"/>
      <c r="C72" s="110">
        <v>35</v>
      </c>
      <c r="D72" s="111" t="str">
        <f ca="1">VLOOKUP(C72,Postupy!$A$3:$B$66,2,0)</f>
        <v>37 PEK Stolín - Mallat Oldřich</v>
      </c>
      <c r="E72" s="157">
        <v>10</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H2</v>
      </c>
      <c r="B73" s="183"/>
      <c r="C73" s="112">
        <v>30</v>
      </c>
      <c r="D73" s="113" t="str">
        <f ca="1">VLOOKUP(C73,Postupy!$A$3:$B$66,2,0)</f>
        <v>8 PLUK Jablonec - Lukáš Vojtěch</v>
      </c>
      <c r="E73" s="158">
        <v>13</v>
      </c>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34 PK Osika Plzeň - Špitálský Milan</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14 Petank Club Praha - Vorel Jan</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Q2</v>
      </c>
      <c r="B77" s="183"/>
      <c r="C77" s="112">
        <v>19</v>
      </c>
      <c r="D77" s="113" t="str">
        <f ca="1">VLOOKUP(C77,Postupy!$A$3:$B$66,2,0)</f>
        <v>53 CP VARY - Šimek Petr</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53 CP VARY - Šimek Petr</v>
      </c>
      <c r="I78" s="157">
        <v>6</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14 Petank Club Praha - Vorel Jan</v>
      </c>
      <c r="I79" s="158">
        <v>13</v>
      </c>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14 Petank Club Praha - Vorel Jan</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62 CdP Loděnice - Pospíšilová Šárka</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62 CdP Loděnice - Pospíšilová Šárka</v>
      </c>
      <c r="I86" s="157">
        <v>13</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52 CdP Loděnice - Janoš Jiří</v>
      </c>
      <c r="I87" s="158">
        <v>2</v>
      </c>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P2</v>
      </c>
      <c r="B89" s="183"/>
      <c r="C89" s="112">
        <v>22</v>
      </c>
      <c r="D89" s="113" t="str">
        <f ca="1">VLOOKUP(C89,Postupy!$A$3:$B$66,2,0)</f>
        <v>52 CdP Loděnice - Janoš Jiří</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62 CdP Loděnice - Pospíšilová Šárka</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6 PC Sokol Lipník - Froňková Blanka</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I2</v>
      </c>
      <c r="B92" s="183"/>
      <c r="C92" s="110">
        <v>27</v>
      </c>
      <c r="D92" s="111" t="str">
        <f ca="1">VLOOKUP(C92,Postupy!$A$3:$B$66,2,0)</f>
        <v>45 Spolek Park Grébovka - Kremlík Miroslav</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45 Spolek Park Grébovka - Kremlík Miroslav</v>
      </c>
      <c r="I94" s="157">
        <v>0</v>
      </c>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 PC Sokol Lipník - Froňková Blanka</v>
      </c>
      <c r="I95" s="158">
        <v>1</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PC Sokol Lipník - Froňková Blanka</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CdP Loděnice - Mrázek Petr</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CdP Loděnice - Mrázek Petr</v>
      </c>
      <c r="I102" s="157">
        <v>13</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25 PC Sokol Lipník - Mazúr Pavel</v>
      </c>
      <c r="I103" s="158">
        <v>1</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L2</v>
      </c>
      <c r="B105" s="183"/>
      <c r="C105" s="112">
        <v>26</v>
      </c>
      <c r="D105" s="113" t="str">
        <f ca="1">VLOOKUP(C105,Postupy!$A$3:$B$66,2,0)</f>
        <v>25 PC Sokol Lipník - Mazúr Pavel</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CdP Loděnice - Mrázek Petr</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24 PK Osika Plzeň - Jirkovský Tomáš</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M2</v>
      </c>
      <c r="B108" s="183"/>
      <c r="C108" s="110">
        <v>23</v>
      </c>
      <c r="D108" s="111" t="str">
        <f ca="1">VLOOKUP(C108,Postupy!$A$3:$B$66,2,0)</f>
        <v>24 PK Osika Plzeň - Jirkovský Tomáš</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24 PK Osika Plzeň - Jirkovský Tomáš</v>
      </c>
      <c r="I110" s="157">
        <v>9</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SKP Kulová osma - Krejčín Leoš</v>
      </c>
      <c r="I111" s="158">
        <v>7</v>
      </c>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SKP Kulová osma - Krejčín Leoš</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15 Sokol Kostomlaty - Vyoral Hynek</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15 Sokol Kostomlaty - Vyoral Hynek</v>
      </c>
      <c r="I118" s="157">
        <v>13</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54 PCP Lipník - Doubrava Antonín</v>
      </c>
      <c r="I119" s="158">
        <v>0</v>
      </c>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54 PCP Lipník - Doubrava Antonín</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15 Sokol Kostomlaty - Vyoral Hynek</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SK Sahara Vědomice - Demčík Milan St.</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E2</v>
      </c>
      <c r="B124" s="183"/>
      <c r="C124" s="110">
        <v>31</v>
      </c>
      <c r="D124" s="111" t="str">
        <f ca="1">VLOOKUP(C124,Postupy!$A$3:$B$66,2,0)</f>
        <v>5 CdP Loděnice - Marhoul Jan</v>
      </c>
      <c r="E124" s="157">
        <v>9</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D2</v>
      </c>
      <c r="B125" s="183"/>
      <c r="C125" s="112">
        <v>34</v>
      </c>
      <c r="D125" s="113" t="str">
        <f ca="1">VLOOKUP(C125,Postupy!$A$3:$B$66,2,0)</f>
        <v>33 PEK Stolín - Hájková Iveta</v>
      </c>
      <c r="E125" s="158">
        <v>8</v>
      </c>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5 CdP Loděnice - Marhoul Jan</v>
      </c>
      <c r="I126" s="157">
        <v>5</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SK Sahara Vědomice - Demčík Milan St.</v>
      </c>
      <c r="I127" s="158">
        <v>13</v>
      </c>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SK Sahara Vědomice - Demčík Milan St.</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PC Sokol Lipník - Vavrovič Petr ml.</v>
      </c>
      <c r="E4" s="157">
        <f ca="1">VLOOKUP(C4,Postupy!$A$3:$BH$34,60,0)</f>
        <v>4</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F2</v>
      </c>
      <c r="B5" s="183"/>
      <c r="C5" s="112">
        <v>32</v>
      </c>
      <c r="D5" s="344" t="str">
        <f ca="1">VLOOKUP(C5,Postupy!$A$3:$BG$34,59,0)</f>
        <v>3 PC Sokol Lipník - Fafek Petr</v>
      </c>
      <c r="E5" s="158">
        <f ca="1">VLOOKUP(C5,Postupy!$A$3:$BH$34,60,0)</f>
        <v>13</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3 PC Sokol Lipník - Fafek Petr</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20 Club Rodamiento - Dlouhá Ivana</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20 Club Rodamiento - Dlouhá Ivana</v>
      </c>
      <c r="E8" s="157">
        <f ca="1">VLOOKUP(C8,Postupy!$A$3:$BH$34,60,0)</f>
        <v>13</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1. KPK Vrchlabí - Mašek Pavel</v>
      </c>
      <c r="E9" s="158">
        <f ca="1">VLOOKUP(C9,Postupy!$A$3:$BH$34,60,0)</f>
        <v>11</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 xml:space="preserve"> </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xml:space="preserve">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28 UBU Únětice - Kot Pavel</v>
      </c>
      <c r="E12" s="157">
        <f ca="1">VLOOKUP(C12,Postupy!$A$3:$BH$34,60,0)</f>
        <v>10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N2</v>
      </c>
      <c r="B13" s="183"/>
      <c r="C13" s="112">
        <v>24</v>
      </c>
      <c r="D13" s="344" t="str">
        <f ca="1">VLOOKUP(C13,Postupy!$A$3:$BG$34,59,0)</f>
        <v>23 Club Rodamiento - Sjögren Magda</v>
      </c>
      <c r="E13" s="158">
        <f ca="1">VLOOKUP(C13,Postupy!$A$3:$BH$34,60,0)</f>
        <v>5</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28 UBU Únětice - Kot Pavel</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44 Spolek Park Grébovka - Nepomucký Jaroslav</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K2</v>
      </c>
      <c r="B16" s="183"/>
      <c r="C16" s="110">
        <v>25</v>
      </c>
      <c r="D16" s="344" t="str">
        <f ca="1">VLOOKUP(C16,Postupy!$A$3:$BG$34,59,0)</f>
        <v>47 CdP Loděnice - Paták Jan</v>
      </c>
      <c r="E16" s="157">
        <f ca="1">VLOOKUP(C16,Postupy!$A$3:$BH$34,60,0)</f>
        <v>5</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44 Spolek Park Grébovka - Nepomucký Jaroslav</v>
      </c>
      <c r="E17" s="158">
        <f ca="1">VLOOKUP(C17,Postupy!$A$3:$BH$34,60,0)</f>
        <v>8</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32 PK Osika Plzeň - Radoušová Jana</v>
      </c>
      <c r="E20" s="157">
        <f ca="1">VLOOKUP(C20,Postupy!$A$3:$BH$34,60,0)</f>
        <v>13</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J2</v>
      </c>
      <c r="B21" s="183"/>
      <c r="C21" s="112">
        <v>28</v>
      </c>
      <c r="D21" s="344" t="str">
        <f ca="1">VLOOKUP(C21,Postupy!$A$3:$BG$34,59,0)</f>
        <v>27 PK Osika Plzeň - Mráz Václav</v>
      </c>
      <c r="E21" s="158">
        <f ca="1">VLOOKUP(C21,Postupy!$A$3:$BH$34,60,0)</f>
        <v>6</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32 PK Osika Plzeň - Radoušová Jana</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22 SKP Kulová osma - Zátka Miloslav</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O2</v>
      </c>
      <c r="B24" s="183"/>
      <c r="C24" s="110">
        <v>21</v>
      </c>
      <c r="D24" s="344" t="str">
        <f ca="1">VLOOKUP(C24,Postupy!$A$3:$BG$34,59,0)</f>
        <v>22 SKP Kulová osma - Zátka Miloslav</v>
      </c>
      <c r="E24" s="157">
        <f ca="1">VLOOKUP(C24,Postupy!$A$3:$BH$34,60,0)</f>
        <v>1</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12 SKP Kulová osma - Chmelař Ivo</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xml:space="preserve">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 xml:space="preserve"> </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PC Kolová - Plucar Petr</v>
      </c>
      <c r="E28" s="157">
        <f ca="1">VLOOKUP(C28,Postupy!$A$3:$BH$34,60,0)</f>
        <v>13</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R2</v>
      </c>
      <c r="B29" s="183"/>
      <c r="C29" s="112">
        <v>20</v>
      </c>
      <c r="D29" s="344" t="str">
        <f ca="1">VLOOKUP(C29,Postupy!$A$3:$BG$34,59,0)</f>
        <v>55 PCP Lipník - Moucha Luboš</v>
      </c>
      <c r="E29" s="158">
        <f ca="1">VLOOKUP(C29,Postupy!$A$3:$BH$34,60,0)</f>
        <v>1</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13 PC Kolová - Plucar Petr</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PC Kolová - Kauca Jindřich</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G2</v>
      </c>
      <c r="B32" s="183"/>
      <c r="C32" s="110">
        <v>29</v>
      </c>
      <c r="D32" s="344" t="str">
        <f ca="1">VLOOKUP(C32,Postupy!$A$3:$BG$34,59,0)</f>
        <v>43 SK Španielka Řepy - Řezník Alois</v>
      </c>
      <c r="E32" s="157">
        <f ca="1">VLOOKUP(C32,Postupy!$A$3:$BH$34,60,0)</f>
        <v>2</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PC Kolová - Kauca Jindřich</v>
      </c>
      <c r="E33" s="158">
        <f ca="1">VLOOKUP(C33,Postupy!$A$3:$BH$34,60,0)</f>
        <v>13</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34 PK Osika Plzeň - Špitálský Milan</v>
      </c>
      <c r="E36" s="157">
        <f ca="1">VLOOKUP(C36,Postupy!$A$3:$BH$34,60,0)</f>
        <v>13</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H2</v>
      </c>
      <c r="B37" s="183"/>
      <c r="C37" s="112">
        <v>30</v>
      </c>
      <c r="D37" s="344" t="str">
        <f ca="1">VLOOKUP(C37,Postupy!$A$3:$BG$34,59,0)</f>
        <v>8 PLUK Jablonec - Lukáš Vojtěch</v>
      </c>
      <c r="E37" s="158">
        <f ca="1">VLOOKUP(C37,Postupy!$A$3:$BH$34,60,0)</f>
        <v>7</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34 PK Osika Plzeň - Špitálský Milan</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14 Petank Club Praha - Vorel Jan</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Q2</v>
      </c>
      <c r="B40" s="183"/>
      <c r="C40" s="110">
        <v>19</v>
      </c>
      <c r="D40" s="344" t="str">
        <f ca="1">VLOOKUP(C40,Postupy!$A$3:$BG$34,59,0)</f>
        <v>53 CP VARY - Šimek Petr</v>
      </c>
      <c r="E40" s="157">
        <f ca="1">VLOOKUP(C40,Postupy!$A$3:$BH$34,60,0)</f>
        <v>6</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14 Petank Club Praha - Vorel Jan</v>
      </c>
      <c r="E41" s="158">
        <f ca="1">VLOOKUP(C41,Postupy!$A$3:$BH$34,60,0)</f>
        <v>13</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 xml:space="preserve"> </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xml:space="preserve">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62 CdP Loděnice - Pospíšilová Šárka</v>
      </c>
      <c r="E44" s="157">
        <f ca="1">VLOOKUP(C44,Postupy!$A$3:$BH$34,60,0)</f>
        <v>13</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P2</v>
      </c>
      <c r="B45" s="183"/>
      <c r="C45" s="112">
        <v>22</v>
      </c>
      <c r="D45" s="344" t="str">
        <f ca="1">VLOOKUP(C45,Postupy!$A$3:$BG$34,59,0)</f>
        <v>52 CdP Loděnice - Janoš Jiří</v>
      </c>
      <c r="E45" s="158">
        <f ca="1">VLOOKUP(C45,Postupy!$A$3:$BH$34,60,0)</f>
        <v>2</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62 CdP Loděnice - Pospíšilová Šárka</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6 PC Sokol Lipník - Froňková Blanka</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I2</v>
      </c>
      <c r="B48" s="183"/>
      <c r="C48" s="110">
        <v>27</v>
      </c>
      <c r="D48" s="344" t="str">
        <f ca="1">VLOOKUP(C48,Postupy!$A$3:$BG$34,59,0)</f>
        <v>45 Spolek Park Grébovka - Kremlík Miroslav</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PC Sokol Lipník - Froňková Blanka</v>
      </c>
      <c r="E49" s="158">
        <f ca="1">VLOOKUP(C49,Postupy!$A$3:$BH$34,60,0)</f>
        <v>1</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CdP Loděnice - Mrázek Petr</v>
      </c>
      <c r="E52" s="157">
        <f ca="1">VLOOKUP(C52,Postupy!$A$3:$BH$34,60,0)</f>
        <v>13</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L2</v>
      </c>
      <c r="B53" s="183"/>
      <c r="C53" s="112">
        <v>26</v>
      </c>
      <c r="D53" s="344" t="str">
        <f ca="1">VLOOKUP(C53,Postupy!$A$3:$BG$34,59,0)</f>
        <v>25 PC Sokol Lipník - Mazúr Pavel</v>
      </c>
      <c r="E53" s="158">
        <f ca="1">VLOOKUP(C53,Postupy!$A$3:$BH$34,60,0)</f>
        <v>1</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CdP Loděnice - Mrázek Petr</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24 PK Osika Plzeň - Jirkovský Tomáš</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M2</v>
      </c>
      <c r="B56" s="183"/>
      <c r="C56" s="110">
        <v>23</v>
      </c>
      <c r="D56" s="344" t="str">
        <f ca="1">VLOOKUP(C56,Postupy!$A$3:$BG$34,59,0)</f>
        <v>24 PK Osika Plzeň - Jirkovský Tomáš</v>
      </c>
      <c r="E56" s="157">
        <f ca="1">VLOOKUP(C56,Postupy!$A$3:$BH$34,60,0)</f>
        <v>9</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SKP Kulová osma - Krejčín Leoš</v>
      </c>
      <c r="E57" s="158">
        <f ca="1">VLOOKUP(C57,Postupy!$A$3:$BH$34,60,0)</f>
        <v>7</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xml:space="preserve">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 xml:space="preserve"> </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15 Sokol Kostomlaty - Vyoral Hynek</v>
      </c>
      <c r="E60" s="157">
        <f ca="1">VLOOKUP(C60,Postupy!$A$3:$BH$34,60,0)</f>
        <v>13</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54 PCP Lipník - Doubrava Antonín</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15 Sokol Kostomlaty - Vyoral Hynek</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SK Sahara Vědomice - Demčík Milan St.</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E2</v>
      </c>
      <c r="B64" s="183"/>
      <c r="C64" s="110">
        <v>31</v>
      </c>
      <c r="D64" s="344" t="str">
        <f ca="1">VLOOKUP(C64,Postupy!$A$3:$BG$34,59,0)</f>
        <v>5 CdP Loděnice - Marhoul Jan</v>
      </c>
      <c r="E64" s="157">
        <f ca="1">VLOOKUP(C64,Postupy!$A$3:$BH$34,60,0)</f>
        <v>5</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SK Sahara Vědomice - Demčík Milan St.</v>
      </c>
      <c r="E65" s="158">
        <f ca="1">VLOOKUP(C65,Postupy!$A$3:$BH$34,60,0)</f>
        <v>13</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2" activePane="bottomRight" state="frozen"/>
      <selection pane="topRight"/>
      <selection pane="bottomLeft"/>
      <selection pane="bottomRight" activeCell="Q21" sqref="Q2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3 PC Sokol Lipník - Fafek Petr</v>
      </c>
      <c r="E4" s="157">
        <v>11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20 Club Rodamiento - Dlouhá Ivana</v>
      </c>
      <c r="E5" s="158">
        <v>8</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3 PC Sokol Lipník - Fafek Petr</v>
      </c>
      <c r="I6" s="157">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28 UBU Únětice - Kot Pavel</v>
      </c>
      <c r="I7" s="158">
        <v>1</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28 UBU Únětice - Kot Pavel</v>
      </c>
      <c r="E8" s="157">
        <v>9</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44 Spolek Park Grébovka - Nepomucký Jaroslav</v>
      </c>
      <c r="E9" s="158">
        <v>2</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3 PC Sokol Lipník - Fafek Petr</v>
      </c>
      <c r="M10" s="157">
        <v>13</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13 PC Kolová - Plucar Petr</v>
      </c>
      <c r="M11" s="158">
        <v>6</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32 PK Osika Plzeň - Radoušová Jana</v>
      </c>
      <c r="E12" s="157">
        <v>13</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22 SKP Kulová osma - Zátka Miloslav</v>
      </c>
      <c r="E13" s="158">
        <v>2</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32 PK Osika Plzeň - Radoušová Jana</v>
      </c>
      <c r="I14" s="157">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13 PC Kolová - Plucar Petr</v>
      </c>
      <c r="I15" s="158">
        <v>1</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13 PC Kolová - Plucar Petr</v>
      </c>
      <c r="E16" s="157">
        <v>13</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PC Kolová - Kauca Jindřich</v>
      </c>
      <c r="E17" s="158">
        <v>10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3 PC Sokol Lipník - Fafek Petr</v>
      </c>
      <c r="Q18" s="157">
        <v>12</v>
      </c>
      <c r="R18" s="27"/>
      <c r="S18" s="39">
        <v>1</v>
      </c>
      <c r="T18" s="135" t="str">
        <f ca="1">IF(AND(Q18="",Q19="")," ",IF(N(Q18)=N(Q19)," ",IF(N(Q18)&gt;N(Q19),P18,P19)))</f>
        <v>15 Sokol Kostomlaty - Vyoral Hynek</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15 Sokol Kostomlaty - Vyoral Hynek</v>
      </c>
      <c r="Q19" s="158">
        <v>13</v>
      </c>
      <c r="R19" s="17"/>
      <c r="S19" s="39">
        <v>2</v>
      </c>
      <c r="T19" s="133" t="str">
        <f ca="1">IF(AND(Q18="",Q19="")," ",IF(N(Q19)=N(Q18)," ",IF(N(Q19)&gt;N(Q18),P18,P19)))</f>
        <v>3 PC Sokol Lipník - Fafek Petr</v>
      </c>
      <c r="U19" s="132">
        <v>2</v>
      </c>
      <c r="V19" s="17"/>
      <c r="W19" s="17"/>
      <c r="X19" s="17"/>
      <c r="Y19" s="17"/>
      <c r="Z19" s="17"/>
      <c r="AA19" s="17"/>
    </row>
    <row r="20" spans="1:29" ht="18.75" thickBot="1">
      <c r="A20" s="118" t="str">
        <f ca="1">VLOOKUP(C20,Postupy!$A$3:$C$18,3,0)</f>
        <v>C1</v>
      </c>
      <c r="B20" s="17"/>
      <c r="C20" s="110">
        <v>3</v>
      </c>
      <c r="D20" s="344" t="str">
        <f ca="1">VLOOKUP(C20,Postupy!$A$3:$AT$18,46,0)</f>
        <v>34 PK Osika Plzeň - Špitálský Milan</v>
      </c>
      <c r="E20" s="157">
        <v>1</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14 Petank Club Praha - Vorel Jan</v>
      </c>
      <c r="E21" s="158">
        <v>13</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14 Petank Club Praha - Vorel Jan</v>
      </c>
      <c r="I22" s="157">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6 PC Sokol Lipník - Froňková Blanka</v>
      </c>
      <c r="I23" s="158">
        <v>1</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62 CdP Loděnice - Pospíšilová Šárka</v>
      </c>
      <c r="E24" s="157">
        <v>6</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6 PC Sokol Lipník - Froňková Blanka</v>
      </c>
      <c r="E25" s="158">
        <v>13</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6 PC Sokol Lipník - Froňková Blanka</v>
      </c>
      <c r="M26" s="157">
        <v>8</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15 Sokol Kostomlaty - Vyoral Hynek</v>
      </c>
      <c r="M27" s="158">
        <v>13</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CdP Loděnice - Mrázek Petr</v>
      </c>
      <c r="E28" s="157">
        <v>4</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24 PK Osika Plzeň - Jirkovský Tomáš</v>
      </c>
      <c r="E29" s="158">
        <v>13</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24 PK Osika Plzeň - Jirkovský Tomáš</v>
      </c>
      <c r="I30" s="157">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15 Sokol Kostomlaty - Vyoral Hynek</v>
      </c>
      <c r="I31" s="158">
        <v>1</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15 Sokol Kostomlaty - Vyoral Hynek</v>
      </c>
      <c r="E32" s="157">
        <v>1</v>
      </c>
      <c r="F32" s="27"/>
      <c r="G32" s="26"/>
      <c r="H32" s="35"/>
      <c r="I32" s="16"/>
      <c r="J32" s="17"/>
      <c r="K32" s="17"/>
      <c r="L32" s="17"/>
      <c r="M32" s="17"/>
      <c r="N32" s="17"/>
      <c r="O32" s="110">
        <v>4</v>
      </c>
      <c r="P32" s="111" t="str">
        <f ca="1">IF(OR(TRIM(L10)="-",TRIM(L11)="-"), IF(TRIM(L10)="-",L11,L10),IF(AND(M10="",M11="")," ",IF(N(M11)=N(M10)," ",IF(N(M11)&gt;N(M10),L10,L11))))</f>
        <v>13 PC Kolová - Plucar Petr</v>
      </c>
      <c r="Q32" s="157">
        <v>13</v>
      </c>
      <c r="R32" s="199"/>
      <c r="S32" s="39">
        <v>3</v>
      </c>
      <c r="T32" s="133" t="str">
        <f ca="1">IF(AND(Q32="",Q33="")," ",IF(N(Q32)=N(Q33)," ",IF(N(Q32)&gt;N(Q33),P32,P33)))</f>
        <v>13 PC Kolová - Plucar Petr</v>
      </c>
      <c r="U32" s="132">
        <v>3</v>
      </c>
      <c r="V32" s="17"/>
      <c r="W32" s="17"/>
      <c r="X32" s="17"/>
      <c r="Y32" s="17"/>
      <c r="Z32" s="17"/>
      <c r="AA32" s="17"/>
    </row>
    <row r="33" spans="1:27" ht="19.5" thickTop="1" thickBot="1">
      <c r="A33" s="118" t="str">
        <f ca="1">VLOOKUP(C33,Postupy!$A$3:$C$18,3,0)</f>
        <v>B1</v>
      </c>
      <c r="B33" s="17"/>
      <c r="C33" s="112">
        <v>2</v>
      </c>
      <c r="D33" s="344" t="str">
        <f ca="1">VLOOKUP(C33,Postupy!$A$3:$AT$18,46,0)</f>
        <v>2 SK Sahara Vědomice - Demčík Milan St.</v>
      </c>
      <c r="E33" s="158">
        <v>0</v>
      </c>
      <c r="F33" s="28"/>
      <c r="G33" s="17"/>
      <c r="H33" s="35"/>
      <c r="I33" s="17"/>
      <c r="J33" s="17"/>
      <c r="K33" s="17"/>
      <c r="L33" s="17"/>
      <c r="M33" s="17"/>
      <c r="N33" s="17"/>
      <c r="O33" s="112">
        <v>3</v>
      </c>
      <c r="P33" s="113" t="str">
        <f ca="1">IF(OR(TRIM(L26)="-",TRIM(L27)="-"), IF(TRIM(L26)="-",L27,L26),IF(AND(M26="",M27="")," ",IF(N(M27)=N(M26)," ",IF(N(M27)&gt;N(M26),L26,L27))))</f>
        <v>6 PC Sokol Lipník - Froňková Blanka</v>
      </c>
      <c r="Q33" s="158">
        <v>6</v>
      </c>
      <c r="R33" s="187"/>
      <c r="S33" s="39">
        <v>4</v>
      </c>
      <c r="T33" s="133" t="str">
        <f ca="1">IF(AND(Q32="",Q33="")," ",IF(N(Q33)=N(Q32)," ",IF(N(Q33)&gt;N(Q32),P32,P33)))</f>
        <v>6 PC Sokol Lipník - Froňková Blanka</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pane="topRight"/>
      <selection pane="bottomLeft"/>
      <selection pane="bottomRight" activeCell="M30" sqref="M30"/>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20 Club Rodamiento - Dlouhá Ivana</v>
      </c>
      <c r="E4" s="157">
        <v>13</v>
      </c>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44 Spolek Park Grébovka - Nepomucký Jaroslav</v>
      </c>
      <c r="E5" s="158">
        <v>12</v>
      </c>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20 Club Rodamiento - Dlouhá Ivana</v>
      </c>
      <c r="I6" s="157">
        <v>1</v>
      </c>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22 SKP Kulová osma - Zátka Miloslav</v>
      </c>
      <c r="I7" s="158">
        <v>0</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22 SKP Kulová osma - Zátka Miloslav</v>
      </c>
      <c r="E8" s="157">
        <v>1</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4 PC Kolová - Kauca Jindřich</v>
      </c>
      <c r="E9" s="158">
        <v>0</v>
      </c>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20 Club Rodamiento - Dlouhá Ivana</v>
      </c>
      <c r="M10" s="157">
        <v>0</v>
      </c>
      <c r="N10" s="27"/>
      <c r="O10" s="39">
        <v>9</v>
      </c>
      <c r="P10" s="135" t="str">
        <f ca="1">IF(AND(M10="",M11="")," ",IF(N(M10)=N(M11)," ",IF(N(M10)&gt;N(M11),L10,L11)))</f>
        <v>34 PK Osika Plzeň - Špitálský Milan</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34 PK Osika Plzeň - Špitálský Milan</v>
      </c>
      <c r="M11" s="158">
        <v>1</v>
      </c>
      <c r="N11" s="21"/>
      <c r="O11" s="39">
        <v>10</v>
      </c>
      <c r="P11" s="133" t="str">
        <f ca="1">IF(AND(M10="",M11="")," ",IF(N(M11)=N(M10)," ",IF(N(M11)&gt;N(M10),L10,L11)))</f>
        <v>20 Club Rodamiento - Dlouhá Ivana</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34 PK Osika Plzeň - Špitálský Milan</v>
      </c>
      <c r="E12" s="157">
        <v>13</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62 CdP Loděnice - Pospíšilová Šárka</v>
      </c>
      <c r="E13" s="158">
        <v>4</v>
      </c>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34 PK Osika Plzeň - Špitálský Milan</v>
      </c>
      <c r="I14" s="157">
        <v>13</v>
      </c>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7 CdP Loděnice - Mrázek Petr</v>
      </c>
      <c r="I15" s="158">
        <v>7</v>
      </c>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7 CdP Loděnice - Mrázek Petr</v>
      </c>
      <c r="E16" s="157">
        <v>13</v>
      </c>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2 SK Sahara Vědomice - Demčík Milan St.</v>
      </c>
      <c r="E17" s="158">
        <v>6</v>
      </c>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22 SKP Kulová osma - Zátka Miloslav</v>
      </c>
      <c r="M18" s="157">
        <v>1</v>
      </c>
      <c r="N18" s="27"/>
      <c r="O18" s="39">
        <v>11</v>
      </c>
      <c r="P18" s="133" t="str">
        <f ca="1">IF(AND(M18="",M19="")," ",IF(N(M18)=N(M19)," ",IF(N(M18)&gt;N(M19),L18,L19)))</f>
        <v>22 SKP Kulová osma - Zátka Miloslav</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7 CdP Loděnice - Mrázek Petr</v>
      </c>
      <c r="M19" s="158">
        <v>0</v>
      </c>
      <c r="N19" s="21"/>
      <c r="O19" s="39">
        <v>12</v>
      </c>
      <c r="P19" s="133" t="str">
        <f ca="1">IF(AND(M18="",M19="")," ",IF(N(M19)=N(M18)," ",IF(N(M19)&gt;N(M18),L18,L19)))</f>
        <v>7 CdP Loděnice - Mrázek Petr</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44 Spolek Park Grébovka - Nepomucký Jaroslav</v>
      </c>
      <c r="I22" s="157">
        <v>13</v>
      </c>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4 PC Kolová - Kauca Jindřich</v>
      </c>
      <c r="I23" s="158">
        <v>6</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44 Spolek Park Grébovka - Nepomucký Jaroslav</v>
      </c>
      <c r="M26" s="157">
        <v>10</v>
      </c>
      <c r="N26" s="27"/>
      <c r="O26" s="39">
        <v>13</v>
      </c>
      <c r="P26" s="133" t="str">
        <f ca="1">IF(AND(M26="",M27="")," ",IF(N(M26)=N(M27)," ",IF(N(M26)&gt;N(M27),L26,L27)))</f>
        <v>62 CdP Loděnice - Pospíšilová Šárka</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62 CdP Loděnice - Pospíšilová Šárka</v>
      </c>
      <c r="M27" s="158">
        <v>13</v>
      </c>
      <c r="N27" s="21"/>
      <c r="O27" s="39">
        <v>14</v>
      </c>
      <c r="P27" s="133" t="str">
        <f ca="1">IF(AND(M26="",M27="")," ",IF(N(M27)=N(M26)," ",IF(N(M27)&gt;N(M26),L26,L27)))</f>
        <v>44 Spolek Park Grébovka - Nepomucký Jaroslav</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62 CdP Loděnice - Pospíšilová Šárka</v>
      </c>
      <c r="I30" s="157">
        <v>13</v>
      </c>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2 SK Sahara Vědomice - Demčík Milan St.</v>
      </c>
      <c r="I31" s="158">
        <v>6</v>
      </c>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4 PC Kolová - Kauca Jindřich</v>
      </c>
      <c r="M34" s="157">
        <v>13</v>
      </c>
      <c r="N34" s="27"/>
      <c r="O34" s="39">
        <v>15</v>
      </c>
      <c r="P34" s="133" t="str">
        <f ca="1">IF(AND(M34="",M35="")," ",IF(N(M34)=N(M35)," ",IF(N(M34)&gt;N(M35),L34,L35)))</f>
        <v>4 PC Kolová - Kauca Jindřich</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2 SK Sahara Vědomice - Demčík Milan St.</v>
      </c>
      <c r="M35" s="158">
        <v>6</v>
      </c>
      <c r="N35" s="21"/>
      <c r="O35" s="39">
        <v>16</v>
      </c>
      <c r="P35" s="133" t="str">
        <f ca="1">IF(AND(M34="",M35="")," ",IF(N(M35)=N(M34)," ",IF(N(M35)&gt;N(M34),L34,L35)))</f>
        <v>2 SK Sahara Vědomice - Demčík Milan St.</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42834</v>
      </c>
    </row>
    <row r="2" spans="1:6" ht="13.5">
      <c r="B2" s="398"/>
      <c r="C2" s="398"/>
      <c r="D2" s="398"/>
      <c r="E2" s="398"/>
      <c r="F2" s="398"/>
    </row>
    <row r="3" spans="1:6" ht="13.5">
      <c r="A3" s="399" t="s">
        <v>463</v>
      </c>
      <c r="B3" s="399" t="s">
        <v>464</v>
      </c>
      <c r="C3" s="399" t="s">
        <v>465</v>
      </c>
      <c r="D3" s="399" t="s">
        <v>466</v>
      </c>
      <c r="E3" s="399" t="s">
        <v>467</v>
      </c>
      <c r="F3" s="399" t="s">
        <v>468</v>
      </c>
    </row>
    <row r="4" spans="1:6">
      <c r="A4">
        <v>17001</v>
      </c>
      <c r="B4" t="s">
        <v>1258</v>
      </c>
      <c r="C4" s="400" t="s">
        <v>1259</v>
      </c>
      <c r="D4" t="s">
        <v>1260</v>
      </c>
      <c r="E4" t="s">
        <v>172</v>
      </c>
      <c r="F4">
        <v>3</v>
      </c>
    </row>
    <row r="5" spans="1:6">
      <c r="A5">
        <v>17002</v>
      </c>
      <c r="B5" t="s">
        <v>1261</v>
      </c>
      <c r="C5" s="400" t="s">
        <v>1262</v>
      </c>
      <c r="D5" t="s">
        <v>1165</v>
      </c>
      <c r="E5" t="s">
        <v>173</v>
      </c>
      <c r="F5">
        <v>2</v>
      </c>
    </row>
    <row r="6" spans="1:6">
      <c r="A6">
        <v>17003</v>
      </c>
      <c r="B6" t="s">
        <v>1263</v>
      </c>
      <c r="C6" s="400" t="s">
        <v>1264</v>
      </c>
      <c r="D6" t="s">
        <v>1265</v>
      </c>
      <c r="E6" t="s">
        <v>470</v>
      </c>
      <c r="F6">
        <v>3</v>
      </c>
    </row>
    <row r="7" spans="1:6">
      <c r="A7">
        <v>17006</v>
      </c>
      <c r="B7" t="s">
        <v>1266</v>
      </c>
      <c r="C7" s="400" t="s">
        <v>1267</v>
      </c>
      <c r="D7" t="s">
        <v>1268</v>
      </c>
      <c r="E7" t="s">
        <v>172</v>
      </c>
      <c r="F7">
        <v>2</v>
      </c>
    </row>
    <row r="8" spans="1:6">
      <c r="A8">
        <v>17005</v>
      </c>
      <c r="B8" t="s">
        <v>1159</v>
      </c>
      <c r="C8" s="400" t="s">
        <v>1267</v>
      </c>
      <c r="D8" t="s">
        <v>494</v>
      </c>
      <c r="E8" t="s">
        <v>495</v>
      </c>
      <c r="F8">
        <v>2</v>
      </c>
    </row>
    <row r="9" spans="1:6">
      <c r="A9">
        <v>17004</v>
      </c>
      <c r="B9" t="s">
        <v>473</v>
      </c>
      <c r="C9" s="400" t="s">
        <v>1267</v>
      </c>
      <c r="D9" t="s">
        <v>474</v>
      </c>
      <c r="E9" t="s">
        <v>475</v>
      </c>
      <c r="F9">
        <v>2</v>
      </c>
    </row>
    <row r="10" spans="1:6">
      <c r="A10">
        <v>17007</v>
      </c>
      <c r="B10" t="s">
        <v>1269</v>
      </c>
      <c r="C10" s="400" t="s">
        <v>1270</v>
      </c>
      <c r="D10" t="s">
        <v>476</v>
      </c>
      <c r="E10" t="s">
        <v>477</v>
      </c>
      <c r="F10">
        <v>3</v>
      </c>
    </row>
    <row r="11" spans="1:6">
      <c r="A11">
        <v>17009</v>
      </c>
      <c r="B11" t="s">
        <v>1271</v>
      </c>
      <c r="C11" s="400" t="s">
        <v>1272</v>
      </c>
      <c r="D11" t="s">
        <v>479</v>
      </c>
      <c r="E11" t="s">
        <v>216</v>
      </c>
      <c r="F11">
        <v>3</v>
      </c>
    </row>
    <row r="12" spans="1:6">
      <c r="A12">
        <v>17008</v>
      </c>
      <c r="B12" t="s">
        <v>1273</v>
      </c>
      <c r="C12" s="400" t="s">
        <v>1272</v>
      </c>
      <c r="D12" t="s">
        <v>1265</v>
      </c>
      <c r="E12" t="s">
        <v>470</v>
      </c>
      <c r="F12">
        <v>2</v>
      </c>
    </row>
    <row r="13" spans="1:6">
      <c r="A13">
        <v>17074</v>
      </c>
      <c r="B13" t="s">
        <v>1274</v>
      </c>
      <c r="C13" s="400" t="s">
        <v>1275</v>
      </c>
      <c r="D13" t="s">
        <v>494</v>
      </c>
      <c r="E13" t="s">
        <v>495</v>
      </c>
      <c r="F13">
        <v>2</v>
      </c>
    </row>
    <row r="14" spans="1:6">
      <c r="A14">
        <v>17010</v>
      </c>
      <c r="B14" t="s">
        <v>492</v>
      </c>
      <c r="C14" s="400" t="s">
        <v>1275</v>
      </c>
      <c r="D14" t="s">
        <v>1171</v>
      </c>
      <c r="E14" t="s">
        <v>493</v>
      </c>
      <c r="F14">
        <v>3</v>
      </c>
    </row>
    <row r="15" spans="1:6">
      <c r="A15">
        <v>17011</v>
      </c>
      <c r="B15" t="s">
        <v>478</v>
      </c>
      <c r="C15" s="400" t="s">
        <v>1276</v>
      </c>
      <c r="D15" t="s">
        <v>233</v>
      </c>
      <c r="E15" t="s">
        <v>1195</v>
      </c>
      <c r="F15">
        <v>2</v>
      </c>
    </row>
    <row r="16" spans="1:6">
      <c r="A16">
        <v>17012</v>
      </c>
      <c r="B16" t="s">
        <v>1277</v>
      </c>
      <c r="C16" s="400" t="s">
        <v>1278</v>
      </c>
      <c r="D16" t="s">
        <v>1165</v>
      </c>
      <c r="E16" t="s">
        <v>173</v>
      </c>
      <c r="F16">
        <v>2</v>
      </c>
    </row>
    <row r="17" spans="1:6">
      <c r="A17">
        <v>17014</v>
      </c>
      <c r="B17" t="s">
        <v>1279</v>
      </c>
      <c r="C17" s="400" t="s">
        <v>1278</v>
      </c>
      <c r="D17" t="s">
        <v>1280</v>
      </c>
      <c r="E17" t="s">
        <v>582</v>
      </c>
      <c r="F17">
        <v>3</v>
      </c>
    </row>
    <row r="18" spans="1:6">
      <c r="A18">
        <v>17013</v>
      </c>
      <c r="B18" t="s">
        <v>482</v>
      </c>
      <c r="C18" s="400" t="s">
        <v>1278</v>
      </c>
      <c r="D18" t="s">
        <v>1166</v>
      </c>
      <c r="E18" t="s">
        <v>1281</v>
      </c>
      <c r="F18">
        <v>3</v>
      </c>
    </row>
    <row r="19" spans="1:6">
      <c r="A19">
        <v>17015</v>
      </c>
      <c r="B19" t="s">
        <v>1282</v>
      </c>
      <c r="C19" s="400" t="s">
        <v>1283</v>
      </c>
      <c r="D19" t="s">
        <v>1165</v>
      </c>
      <c r="E19" t="s">
        <v>173</v>
      </c>
      <c r="F19">
        <v>1</v>
      </c>
    </row>
    <row r="20" spans="1:6">
      <c r="A20">
        <v>17016</v>
      </c>
      <c r="B20" t="s">
        <v>1284</v>
      </c>
      <c r="C20" s="400" t="s">
        <v>1285</v>
      </c>
      <c r="D20" t="s">
        <v>1286</v>
      </c>
      <c r="E20" t="s">
        <v>1287</v>
      </c>
      <c r="F20">
        <v>1</v>
      </c>
    </row>
    <row r="21" spans="1:6">
      <c r="A21">
        <v>17017</v>
      </c>
      <c r="B21" t="s">
        <v>1288</v>
      </c>
      <c r="C21" s="400" t="s">
        <v>1285</v>
      </c>
      <c r="D21" t="s">
        <v>1265</v>
      </c>
      <c r="E21" t="s">
        <v>470</v>
      </c>
      <c r="F21">
        <v>2</v>
      </c>
    </row>
    <row r="22" spans="1:6">
      <c r="A22">
        <v>17018</v>
      </c>
      <c r="B22" t="s">
        <v>1289</v>
      </c>
      <c r="C22" s="400" t="s">
        <v>1290</v>
      </c>
      <c r="D22" t="s">
        <v>1291</v>
      </c>
      <c r="F22">
        <v>3</v>
      </c>
    </row>
    <row r="23" spans="1:6">
      <c r="A23">
        <v>17019</v>
      </c>
      <c r="B23" t="s">
        <v>1292</v>
      </c>
      <c r="C23" s="400" t="s">
        <v>1290</v>
      </c>
      <c r="D23" t="s">
        <v>1293</v>
      </c>
      <c r="E23" t="s">
        <v>1294</v>
      </c>
      <c r="F23">
        <v>2</v>
      </c>
    </row>
    <row r="24" spans="1:6">
      <c r="A24">
        <v>17020</v>
      </c>
      <c r="B24" t="s">
        <v>485</v>
      </c>
      <c r="C24" s="400" t="s">
        <v>1290</v>
      </c>
      <c r="D24" t="s">
        <v>486</v>
      </c>
      <c r="E24" t="s">
        <v>1295</v>
      </c>
      <c r="F24">
        <v>2</v>
      </c>
    </row>
    <row r="25" spans="1:6">
      <c r="A25">
        <v>17080</v>
      </c>
      <c r="B25" t="s">
        <v>1296</v>
      </c>
      <c r="C25" s="400" t="s">
        <v>1290</v>
      </c>
      <c r="D25" t="s">
        <v>1164</v>
      </c>
      <c r="E25" t="s">
        <v>484</v>
      </c>
      <c r="F25">
        <v>2</v>
      </c>
    </row>
    <row r="26" spans="1:6">
      <c r="A26">
        <v>17021</v>
      </c>
      <c r="B26" t="s">
        <v>1168</v>
      </c>
      <c r="C26" s="400" t="s">
        <v>1297</v>
      </c>
      <c r="F26">
        <v>0</v>
      </c>
    </row>
    <row r="27" spans="1:6">
      <c r="A27">
        <v>17023</v>
      </c>
      <c r="B27" t="s">
        <v>1163</v>
      </c>
      <c r="C27" s="400" t="s">
        <v>1298</v>
      </c>
      <c r="D27" t="s">
        <v>494</v>
      </c>
      <c r="E27" t="s">
        <v>495</v>
      </c>
      <c r="F27">
        <v>1</v>
      </c>
    </row>
    <row r="28" spans="1:6">
      <c r="A28">
        <v>17022</v>
      </c>
      <c r="B28" t="s">
        <v>1299</v>
      </c>
      <c r="C28" s="400" t="s">
        <v>1298</v>
      </c>
      <c r="D28" t="s">
        <v>1169</v>
      </c>
      <c r="E28" t="s">
        <v>1300</v>
      </c>
      <c r="F28">
        <v>3</v>
      </c>
    </row>
    <row r="29" spans="1:6">
      <c r="A29">
        <v>17075</v>
      </c>
      <c r="B29" t="s">
        <v>1301</v>
      </c>
      <c r="C29" s="400" t="s">
        <v>1298</v>
      </c>
      <c r="D29" t="s">
        <v>490</v>
      </c>
      <c r="E29" t="s">
        <v>491</v>
      </c>
      <c r="F29">
        <v>2</v>
      </c>
    </row>
    <row r="30" spans="1:6">
      <c r="A30">
        <v>17024</v>
      </c>
      <c r="B30" t="s">
        <v>1177</v>
      </c>
      <c r="C30" s="400" t="s">
        <v>1302</v>
      </c>
      <c r="D30" t="s">
        <v>471</v>
      </c>
      <c r="E30" t="s">
        <v>329</v>
      </c>
      <c r="F30">
        <v>2</v>
      </c>
    </row>
    <row r="31" spans="1:6">
      <c r="A31">
        <v>17025</v>
      </c>
      <c r="B31" t="s">
        <v>1303</v>
      </c>
      <c r="C31" s="400" t="s">
        <v>1304</v>
      </c>
      <c r="D31" t="s">
        <v>1305</v>
      </c>
      <c r="E31" t="s">
        <v>496</v>
      </c>
      <c r="F31">
        <v>3</v>
      </c>
    </row>
    <row r="32" spans="1:6">
      <c r="A32">
        <v>17026</v>
      </c>
      <c r="B32" t="s">
        <v>1173</v>
      </c>
      <c r="C32" s="400" t="s">
        <v>1306</v>
      </c>
      <c r="D32" t="s">
        <v>494</v>
      </c>
      <c r="E32" t="s">
        <v>495</v>
      </c>
      <c r="F32">
        <v>3</v>
      </c>
    </row>
    <row r="33" spans="1:6">
      <c r="A33">
        <v>17027</v>
      </c>
      <c r="B33" t="s">
        <v>1307</v>
      </c>
      <c r="C33" s="400" t="s">
        <v>1308</v>
      </c>
      <c r="D33" t="s">
        <v>1309</v>
      </c>
      <c r="F33">
        <v>3</v>
      </c>
    </row>
    <row r="34" spans="1:6">
      <c r="A34">
        <v>17028</v>
      </c>
      <c r="B34" t="s">
        <v>488</v>
      </c>
      <c r="C34" s="400" t="s">
        <v>1308</v>
      </c>
      <c r="D34" t="s">
        <v>474</v>
      </c>
      <c r="E34" t="s">
        <v>475</v>
      </c>
      <c r="F34">
        <v>1</v>
      </c>
    </row>
    <row r="35" spans="1:6">
      <c r="A35">
        <v>17029</v>
      </c>
      <c r="B35" t="s">
        <v>1310</v>
      </c>
      <c r="C35" s="400" t="s">
        <v>1308</v>
      </c>
      <c r="D35" t="s">
        <v>469</v>
      </c>
      <c r="E35" t="s">
        <v>1210</v>
      </c>
      <c r="F35">
        <v>2</v>
      </c>
    </row>
    <row r="36" spans="1:6">
      <c r="A36">
        <v>17030</v>
      </c>
      <c r="B36" t="s">
        <v>1311</v>
      </c>
      <c r="C36" s="400" t="s">
        <v>1312</v>
      </c>
      <c r="F36">
        <v>1</v>
      </c>
    </row>
    <row r="37" spans="1:6">
      <c r="A37">
        <v>17031</v>
      </c>
      <c r="B37" t="s">
        <v>1313</v>
      </c>
      <c r="C37" s="400" t="s">
        <v>1312</v>
      </c>
      <c r="F37">
        <v>1</v>
      </c>
    </row>
    <row r="38" spans="1:6">
      <c r="A38">
        <v>17032</v>
      </c>
      <c r="B38" t="s">
        <v>1314</v>
      </c>
      <c r="C38" s="400" t="s">
        <v>1315</v>
      </c>
      <c r="D38" t="s">
        <v>1265</v>
      </c>
      <c r="E38" t="s">
        <v>470</v>
      </c>
      <c r="F38">
        <v>4</v>
      </c>
    </row>
    <row r="39" spans="1:6">
      <c r="A39">
        <v>17082</v>
      </c>
      <c r="B39" t="s">
        <v>1316</v>
      </c>
      <c r="C39" s="400" t="s">
        <v>1317</v>
      </c>
      <c r="D39" t="s">
        <v>1318</v>
      </c>
      <c r="E39" t="s">
        <v>172</v>
      </c>
      <c r="F39">
        <v>3</v>
      </c>
    </row>
    <row r="40" spans="1:6">
      <c r="A40">
        <v>17033</v>
      </c>
      <c r="B40" t="s">
        <v>1172</v>
      </c>
      <c r="C40" s="400" t="s">
        <v>1319</v>
      </c>
      <c r="D40" t="s">
        <v>471</v>
      </c>
      <c r="E40" t="s">
        <v>329</v>
      </c>
      <c r="F40">
        <v>1</v>
      </c>
    </row>
    <row r="41" spans="1:6">
      <c r="A41">
        <v>17034</v>
      </c>
      <c r="B41" t="s">
        <v>1320</v>
      </c>
      <c r="C41" s="400" t="s">
        <v>1321</v>
      </c>
      <c r="D41" t="s">
        <v>471</v>
      </c>
      <c r="E41" t="s">
        <v>329</v>
      </c>
      <c r="F41">
        <v>1</v>
      </c>
    </row>
    <row r="42" spans="1:6">
      <c r="A42">
        <v>17035</v>
      </c>
      <c r="B42" t="s">
        <v>1322</v>
      </c>
      <c r="C42" s="400" t="s">
        <v>1323</v>
      </c>
      <c r="D42" t="s">
        <v>1324</v>
      </c>
      <c r="F42">
        <v>3</v>
      </c>
    </row>
    <row r="43" spans="1:6">
      <c r="A43">
        <v>17036</v>
      </c>
      <c r="B43" t="s">
        <v>1325</v>
      </c>
      <c r="C43" s="400" t="s">
        <v>1323</v>
      </c>
      <c r="D43" t="s">
        <v>500</v>
      </c>
      <c r="E43" t="s">
        <v>501</v>
      </c>
      <c r="F43">
        <v>2</v>
      </c>
    </row>
    <row r="44" spans="1:6">
      <c r="A44">
        <v>17037</v>
      </c>
      <c r="B44" t="s">
        <v>1326</v>
      </c>
      <c r="C44" s="400" t="s">
        <v>1323</v>
      </c>
      <c r="D44" t="s">
        <v>1175</v>
      </c>
      <c r="E44" t="s">
        <v>489</v>
      </c>
      <c r="F44">
        <v>3</v>
      </c>
    </row>
    <row r="45" spans="1:6">
      <c r="A45">
        <v>17076</v>
      </c>
      <c r="B45" t="s">
        <v>1327</v>
      </c>
      <c r="C45" s="400" t="s">
        <v>1328</v>
      </c>
      <c r="D45" t="s">
        <v>1329</v>
      </c>
      <c r="E45" t="s">
        <v>743</v>
      </c>
      <c r="F45">
        <v>3</v>
      </c>
    </row>
    <row r="46" spans="1:6">
      <c r="A46">
        <v>17038</v>
      </c>
      <c r="B46" t="s">
        <v>1330</v>
      </c>
      <c r="C46" s="400" t="s">
        <v>1328</v>
      </c>
      <c r="D46" t="s">
        <v>483</v>
      </c>
      <c r="E46" t="s">
        <v>200</v>
      </c>
      <c r="F46">
        <v>2</v>
      </c>
    </row>
    <row r="47" spans="1:6">
      <c r="A47">
        <v>17040</v>
      </c>
      <c r="B47" t="s">
        <v>1331</v>
      </c>
      <c r="C47" s="400" t="s">
        <v>1332</v>
      </c>
      <c r="D47" t="s">
        <v>494</v>
      </c>
      <c r="E47" t="s">
        <v>495</v>
      </c>
      <c r="F47">
        <v>2</v>
      </c>
    </row>
    <row r="48" spans="1:6">
      <c r="A48">
        <v>17039</v>
      </c>
      <c r="B48" t="s">
        <v>1333</v>
      </c>
      <c r="C48" s="400" t="s">
        <v>1332</v>
      </c>
      <c r="D48" t="s">
        <v>498</v>
      </c>
      <c r="E48" t="s">
        <v>1334</v>
      </c>
      <c r="F48">
        <v>4</v>
      </c>
    </row>
    <row r="49" spans="1:6">
      <c r="A49">
        <v>17041</v>
      </c>
      <c r="B49" t="s">
        <v>1174</v>
      </c>
      <c r="C49" s="400" t="s">
        <v>1335</v>
      </c>
      <c r="F49">
        <v>0</v>
      </c>
    </row>
    <row r="50" spans="1:6">
      <c r="A50">
        <v>17043</v>
      </c>
      <c r="B50" t="s">
        <v>499</v>
      </c>
      <c r="C50" s="400" t="s">
        <v>1336</v>
      </c>
      <c r="D50" t="s">
        <v>500</v>
      </c>
      <c r="E50" t="s">
        <v>501</v>
      </c>
      <c r="F50">
        <v>2</v>
      </c>
    </row>
    <row r="51" spans="1:6">
      <c r="A51">
        <v>17042</v>
      </c>
      <c r="B51" t="s">
        <v>1337</v>
      </c>
      <c r="C51" s="400" t="s">
        <v>1336</v>
      </c>
      <c r="D51" t="s">
        <v>1338</v>
      </c>
      <c r="E51" t="s">
        <v>1170</v>
      </c>
      <c r="F51">
        <v>3</v>
      </c>
    </row>
    <row r="52" spans="1:6">
      <c r="A52">
        <v>17077</v>
      </c>
      <c r="B52" t="s">
        <v>1339</v>
      </c>
      <c r="C52" s="400" t="s">
        <v>1340</v>
      </c>
      <c r="D52" t="s">
        <v>494</v>
      </c>
      <c r="E52" t="s">
        <v>495</v>
      </c>
      <c r="F52">
        <v>2</v>
      </c>
    </row>
    <row r="53" spans="1:6">
      <c r="A53">
        <v>17045</v>
      </c>
      <c r="B53" t="s">
        <v>1341</v>
      </c>
      <c r="C53" s="400" t="s">
        <v>1340</v>
      </c>
      <c r="D53" t="s">
        <v>498</v>
      </c>
      <c r="E53" t="s">
        <v>1334</v>
      </c>
      <c r="F53">
        <v>3</v>
      </c>
    </row>
    <row r="54" spans="1:6">
      <c r="A54">
        <v>17081</v>
      </c>
      <c r="B54" t="s">
        <v>1342</v>
      </c>
      <c r="C54" s="400" t="s">
        <v>1340</v>
      </c>
      <c r="D54" t="s">
        <v>471</v>
      </c>
      <c r="E54" t="s">
        <v>1343</v>
      </c>
      <c r="F54">
        <v>2</v>
      </c>
    </row>
    <row r="55" spans="1:6">
      <c r="A55">
        <v>17044</v>
      </c>
      <c r="B55" t="s">
        <v>503</v>
      </c>
      <c r="C55" s="400" t="s">
        <v>1340</v>
      </c>
      <c r="D55" t="s">
        <v>1166</v>
      </c>
      <c r="E55" t="s">
        <v>1281</v>
      </c>
      <c r="F55">
        <v>1</v>
      </c>
    </row>
    <row r="56" spans="1:6">
      <c r="A56">
        <v>17046</v>
      </c>
      <c r="B56" t="s">
        <v>1344</v>
      </c>
      <c r="C56" s="400" t="s">
        <v>1345</v>
      </c>
      <c r="D56" t="s">
        <v>1346</v>
      </c>
      <c r="E56" t="s">
        <v>550</v>
      </c>
      <c r="F56">
        <v>3</v>
      </c>
    </row>
    <row r="57" spans="1:6">
      <c r="A57">
        <v>17078</v>
      </c>
      <c r="B57" t="s">
        <v>1347</v>
      </c>
      <c r="C57" s="400" t="s">
        <v>1345</v>
      </c>
      <c r="D57" t="s">
        <v>490</v>
      </c>
      <c r="E57" t="s">
        <v>491</v>
      </c>
      <c r="F57">
        <v>3</v>
      </c>
    </row>
    <row r="58" spans="1:6">
      <c r="A58">
        <v>17047</v>
      </c>
      <c r="B58" t="s">
        <v>1348</v>
      </c>
      <c r="C58" s="400" t="s">
        <v>1349</v>
      </c>
      <c r="D58" t="s">
        <v>486</v>
      </c>
      <c r="E58" t="s">
        <v>1295</v>
      </c>
      <c r="F58">
        <v>2</v>
      </c>
    </row>
    <row r="59" spans="1:6">
      <c r="A59">
        <v>17049</v>
      </c>
      <c r="B59" t="s">
        <v>505</v>
      </c>
      <c r="C59" s="400" t="s">
        <v>1350</v>
      </c>
      <c r="D59" t="s">
        <v>506</v>
      </c>
      <c r="E59" t="s">
        <v>1300</v>
      </c>
      <c r="F59">
        <v>3</v>
      </c>
    </row>
    <row r="60" spans="1:6">
      <c r="A60">
        <v>17048</v>
      </c>
      <c r="B60" t="s">
        <v>504</v>
      </c>
      <c r="C60" s="400" t="s">
        <v>1350</v>
      </c>
      <c r="D60" t="s">
        <v>471</v>
      </c>
      <c r="E60" t="s">
        <v>329</v>
      </c>
      <c r="F60">
        <v>2</v>
      </c>
    </row>
    <row r="61" spans="1:6">
      <c r="A61">
        <v>17051</v>
      </c>
      <c r="B61" t="s">
        <v>1351</v>
      </c>
      <c r="C61" s="400" t="s">
        <v>1352</v>
      </c>
      <c r="D61" t="s">
        <v>494</v>
      </c>
      <c r="E61" t="s">
        <v>495</v>
      </c>
      <c r="F61">
        <v>3</v>
      </c>
    </row>
    <row r="62" spans="1:6">
      <c r="A62">
        <v>17050</v>
      </c>
      <c r="B62" t="s">
        <v>1353</v>
      </c>
      <c r="C62" s="400" t="s">
        <v>1352</v>
      </c>
      <c r="D62" t="s">
        <v>490</v>
      </c>
      <c r="E62" t="s">
        <v>491</v>
      </c>
      <c r="F62">
        <v>4</v>
      </c>
    </row>
    <row r="63" spans="1:6">
      <c r="A63">
        <v>17052</v>
      </c>
      <c r="B63" t="s">
        <v>1354</v>
      </c>
      <c r="C63" s="400" t="s">
        <v>1355</v>
      </c>
      <c r="D63" t="s">
        <v>1356</v>
      </c>
      <c r="F63">
        <v>3</v>
      </c>
    </row>
    <row r="64" spans="1:6">
      <c r="A64">
        <v>17053</v>
      </c>
      <c r="B64" t="s">
        <v>1357</v>
      </c>
      <c r="C64" s="400" t="s">
        <v>1355</v>
      </c>
      <c r="D64" t="s">
        <v>469</v>
      </c>
      <c r="E64" t="s">
        <v>1210</v>
      </c>
      <c r="F64">
        <v>3</v>
      </c>
    </row>
    <row r="65" spans="1:6">
      <c r="A65">
        <v>17054</v>
      </c>
      <c r="B65" t="s">
        <v>1176</v>
      </c>
      <c r="C65" s="400" t="s">
        <v>1358</v>
      </c>
      <c r="D65" t="s">
        <v>1359</v>
      </c>
      <c r="E65" t="s">
        <v>198</v>
      </c>
      <c r="F65">
        <v>3</v>
      </c>
    </row>
    <row r="66" spans="1:6">
      <c r="A66">
        <v>17079</v>
      </c>
      <c r="B66" t="s">
        <v>1360</v>
      </c>
      <c r="C66" s="400" t="s">
        <v>1361</v>
      </c>
      <c r="D66" t="s">
        <v>1286</v>
      </c>
      <c r="E66" t="s">
        <v>172</v>
      </c>
      <c r="F66">
        <v>1</v>
      </c>
    </row>
    <row r="67" spans="1:6">
      <c r="A67">
        <v>17055</v>
      </c>
      <c r="B67" t="s">
        <v>1362</v>
      </c>
      <c r="C67" s="400" t="s">
        <v>1363</v>
      </c>
      <c r="D67" t="s">
        <v>1364</v>
      </c>
      <c r="F67">
        <v>3</v>
      </c>
    </row>
    <row r="68" spans="1:6">
      <c r="A68">
        <v>17056</v>
      </c>
      <c r="B68" t="s">
        <v>1365</v>
      </c>
      <c r="C68" s="400" t="s">
        <v>1363</v>
      </c>
      <c r="D68" t="s">
        <v>1171</v>
      </c>
      <c r="E68" t="s">
        <v>493</v>
      </c>
      <c r="F68">
        <v>3</v>
      </c>
    </row>
    <row r="69" spans="1:6">
      <c r="A69">
        <v>17057</v>
      </c>
      <c r="B69" t="s">
        <v>1178</v>
      </c>
      <c r="C69" s="400" t="s">
        <v>1366</v>
      </c>
      <c r="F69">
        <v>0</v>
      </c>
    </row>
    <row r="70" spans="1:6">
      <c r="A70">
        <v>17059</v>
      </c>
      <c r="B70" t="s">
        <v>1367</v>
      </c>
      <c r="C70" s="400" t="s">
        <v>1368</v>
      </c>
      <c r="F70">
        <v>0</v>
      </c>
    </row>
    <row r="71" spans="1:6">
      <c r="A71">
        <v>17058</v>
      </c>
      <c r="B71" t="s">
        <v>1369</v>
      </c>
      <c r="C71" s="400" t="s">
        <v>1368</v>
      </c>
      <c r="D71" t="s">
        <v>1165</v>
      </c>
      <c r="E71" t="s">
        <v>173</v>
      </c>
      <c r="F71">
        <v>2</v>
      </c>
    </row>
    <row r="72" spans="1:6">
      <c r="A72">
        <v>17060</v>
      </c>
      <c r="B72" t="s">
        <v>507</v>
      </c>
      <c r="C72" s="400" t="s">
        <v>1370</v>
      </c>
      <c r="D72" t="s">
        <v>1265</v>
      </c>
      <c r="E72" t="s">
        <v>470</v>
      </c>
      <c r="F72">
        <v>2</v>
      </c>
    </row>
    <row r="73" spans="1:6">
      <c r="A73">
        <v>17062</v>
      </c>
      <c r="B73" t="s">
        <v>502</v>
      </c>
      <c r="C73" s="400" t="s">
        <v>1371</v>
      </c>
      <c r="D73" t="s">
        <v>494</v>
      </c>
      <c r="E73" t="s">
        <v>495</v>
      </c>
      <c r="F73">
        <v>3</v>
      </c>
    </row>
    <row r="74" spans="1:6">
      <c r="A74">
        <v>17061</v>
      </c>
      <c r="B74" t="s">
        <v>508</v>
      </c>
      <c r="C74" s="400" t="s">
        <v>1371</v>
      </c>
      <c r="D74" t="s">
        <v>1166</v>
      </c>
      <c r="E74" t="s">
        <v>1281</v>
      </c>
      <c r="F74">
        <v>2</v>
      </c>
    </row>
    <row r="75" spans="1:6">
      <c r="A75">
        <v>17064</v>
      </c>
      <c r="B75" t="s">
        <v>521</v>
      </c>
      <c r="C75" s="400" t="s">
        <v>1372</v>
      </c>
      <c r="D75" t="s">
        <v>474</v>
      </c>
      <c r="E75" t="s">
        <v>475</v>
      </c>
      <c r="F75">
        <v>2</v>
      </c>
    </row>
    <row r="76" spans="1:6">
      <c r="A76">
        <v>17063</v>
      </c>
      <c r="B76" t="s">
        <v>1180</v>
      </c>
      <c r="C76" s="400" t="s">
        <v>1372</v>
      </c>
      <c r="D76" t="s">
        <v>471</v>
      </c>
      <c r="E76" t="s">
        <v>329</v>
      </c>
      <c r="F76">
        <v>2</v>
      </c>
    </row>
    <row r="77" spans="1:6">
      <c r="A77">
        <v>17065</v>
      </c>
      <c r="B77" t="s">
        <v>1373</v>
      </c>
      <c r="C77" s="400" t="s">
        <v>1374</v>
      </c>
      <c r="D77" t="s">
        <v>469</v>
      </c>
      <c r="E77" t="s">
        <v>1210</v>
      </c>
      <c r="F77">
        <v>3</v>
      </c>
    </row>
    <row r="78" spans="1:6">
      <c r="A78">
        <v>17066</v>
      </c>
      <c r="B78" t="s">
        <v>1182</v>
      </c>
      <c r="C78" s="400" t="s">
        <v>1374</v>
      </c>
      <c r="D78" t="s">
        <v>476</v>
      </c>
      <c r="E78" t="s">
        <v>477</v>
      </c>
      <c r="F78">
        <v>3</v>
      </c>
    </row>
    <row r="79" spans="1:6">
      <c r="A79">
        <v>17067</v>
      </c>
      <c r="B79" t="s">
        <v>1179</v>
      </c>
      <c r="C79" s="400" t="s">
        <v>1375</v>
      </c>
      <c r="D79" t="s">
        <v>486</v>
      </c>
      <c r="E79" t="s">
        <v>1295</v>
      </c>
      <c r="F79">
        <v>2</v>
      </c>
    </row>
    <row r="80" spans="1:6">
      <c r="A80">
        <v>17068</v>
      </c>
      <c r="B80" t="s">
        <v>1376</v>
      </c>
      <c r="C80" s="400" t="s">
        <v>1375</v>
      </c>
      <c r="D80" t="s">
        <v>1265</v>
      </c>
      <c r="E80" t="s">
        <v>470</v>
      </c>
      <c r="F80">
        <v>2</v>
      </c>
    </row>
    <row r="81" spans="1:6">
      <c r="A81">
        <v>17069</v>
      </c>
      <c r="B81" t="s">
        <v>1183</v>
      </c>
      <c r="C81" s="400" t="s">
        <v>1377</v>
      </c>
      <c r="D81" t="s">
        <v>1185</v>
      </c>
      <c r="E81" t="s">
        <v>172</v>
      </c>
      <c r="F81">
        <v>2</v>
      </c>
    </row>
    <row r="82" spans="1:6">
      <c r="A82">
        <v>17071</v>
      </c>
      <c r="B82" t="s">
        <v>524</v>
      </c>
      <c r="C82" s="400" t="s">
        <v>1378</v>
      </c>
      <c r="D82" t="s">
        <v>479</v>
      </c>
      <c r="E82" t="s">
        <v>216</v>
      </c>
      <c r="F82">
        <v>3</v>
      </c>
    </row>
    <row r="83" spans="1:6">
      <c r="A83">
        <v>17070</v>
      </c>
      <c r="B83" t="s">
        <v>1379</v>
      </c>
      <c r="C83" s="400" t="s">
        <v>1378</v>
      </c>
      <c r="D83" t="s">
        <v>483</v>
      </c>
      <c r="E83" t="s">
        <v>200</v>
      </c>
      <c r="F83">
        <v>2</v>
      </c>
    </row>
    <row r="84" spans="1:6">
      <c r="A84">
        <v>17072</v>
      </c>
      <c r="B84" t="s">
        <v>1380</v>
      </c>
      <c r="C84" s="400" t="s">
        <v>1381</v>
      </c>
      <c r="D84" t="s">
        <v>476</v>
      </c>
      <c r="E84" t="s">
        <v>477</v>
      </c>
      <c r="F84">
        <v>3</v>
      </c>
    </row>
    <row r="85" spans="1:6">
      <c r="A85">
        <v>17073</v>
      </c>
      <c r="B85" t="s">
        <v>1382</v>
      </c>
      <c r="C85" s="400" t="s">
        <v>1383</v>
      </c>
      <c r="D85" t="s">
        <v>1165</v>
      </c>
      <c r="E85" t="s">
        <v>173</v>
      </c>
      <c r="F85">
        <v>2</v>
      </c>
    </row>
    <row r="86" spans="1:6">
      <c r="A86">
        <v>13068</v>
      </c>
      <c r="B86" t="s">
        <v>1182</v>
      </c>
      <c r="C86" s="400" t="s">
        <v>1181</v>
      </c>
      <c r="D86" t="s">
        <v>1160</v>
      </c>
      <c r="E86" t="s">
        <v>1161</v>
      </c>
      <c r="F86">
        <v>3</v>
      </c>
    </row>
    <row r="87" spans="1:6">
      <c r="A87">
        <v>13076</v>
      </c>
      <c r="B87" t="s">
        <v>1183</v>
      </c>
      <c r="C87" s="400" t="s">
        <v>1184</v>
      </c>
      <c r="D87" t="s">
        <v>1185</v>
      </c>
      <c r="E87" t="s">
        <v>1186</v>
      </c>
      <c r="F87">
        <v>2</v>
      </c>
    </row>
    <row r="88" spans="1:6">
      <c r="A88">
        <v>13070</v>
      </c>
      <c r="B88" t="s">
        <v>521</v>
      </c>
      <c r="C88" s="400" t="s">
        <v>1187</v>
      </c>
      <c r="D88" t="s">
        <v>474</v>
      </c>
      <c r="E88" t="s">
        <v>475</v>
      </c>
      <c r="F88">
        <v>2</v>
      </c>
    </row>
    <row r="89" spans="1:6">
      <c r="A89">
        <v>13071</v>
      </c>
      <c r="B89" t="s">
        <v>1188</v>
      </c>
      <c r="C89" s="400" t="s">
        <v>1189</v>
      </c>
      <c r="D89" t="s">
        <v>479</v>
      </c>
      <c r="E89" t="s">
        <v>1162</v>
      </c>
      <c r="F89">
        <v>3</v>
      </c>
    </row>
    <row r="90" spans="1:6">
      <c r="A90">
        <v>13072</v>
      </c>
      <c r="B90" t="s">
        <v>515</v>
      </c>
      <c r="C90" s="400" t="s">
        <v>1189</v>
      </c>
      <c r="D90" t="s">
        <v>483</v>
      </c>
      <c r="E90" t="s">
        <v>200</v>
      </c>
      <c r="F90">
        <v>2</v>
      </c>
    </row>
    <row r="91" spans="1:6">
      <c r="A91">
        <v>13073</v>
      </c>
      <c r="B91" t="s">
        <v>1190</v>
      </c>
      <c r="C91" s="400" t="s">
        <v>1191</v>
      </c>
      <c r="D91" t="s">
        <v>1160</v>
      </c>
      <c r="E91" t="s">
        <v>1161</v>
      </c>
      <c r="F91">
        <v>3</v>
      </c>
    </row>
    <row r="92" spans="1:6">
      <c r="A92">
        <v>13074</v>
      </c>
      <c r="B92" t="s">
        <v>1192</v>
      </c>
      <c r="C92" s="400" t="s">
        <v>1193</v>
      </c>
      <c r="D92" t="s">
        <v>1165</v>
      </c>
      <c r="E92" t="s">
        <v>481</v>
      </c>
      <c r="F92">
        <v>2</v>
      </c>
    </row>
    <row r="93" spans="1:6">
      <c r="A93">
        <v>13075</v>
      </c>
      <c r="B93" t="s">
        <v>528</v>
      </c>
      <c r="C93" s="400" t="s">
        <v>1194</v>
      </c>
      <c r="D93" t="s">
        <v>483</v>
      </c>
      <c r="E93" t="s">
        <v>200</v>
      </c>
      <c r="F93">
        <v>2</v>
      </c>
    </row>
    <row r="94" spans="1:6">
      <c r="A94">
        <v>12092</v>
      </c>
      <c r="B94" t="s">
        <v>510</v>
      </c>
      <c r="C94" s="400" t="s">
        <v>509</v>
      </c>
      <c r="D94" t="s">
        <v>479</v>
      </c>
      <c r="E94" t="s">
        <v>216</v>
      </c>
      <c r="F94">
        <v>2</v>
      </c>
    </row>
    <row r="95" spans="1:6">
      <c r="A95">
        <v>12093</v>
      </c>
      <c r="B95" t="s">
        <v>511</v>
      </c>
      <c r="C95" s="400" t="s">
        <v>509</v>
      </c>
      <c r="D95" t="s">
        <v>471</v>
      </c>
      <c r="E95" t="s">
        <v>472</v>
      </c>
      <c r="F95">
        <v>2</v>
      </c>
    </row>
    <row r="96" spans="1:6">
      <c r="A96">
        <v>12094</v>
      </c>
      <c r="B96" t="s">
        <v>512</v>
      </c>
      <c r="C96" s="400" t="s">
        <v>509</v>
      </c>
      <c r="D96" t="s">
        <v>471</v>
      </c>
      <c r="E96" t="s">
        <v>472</v>
      </c>
      <c r="F96">
        <v>2</v>
      </c>
    </row>
    <row r="97" spans="1:6">
      <c r="A97">
        <v>12095</v>
      </c>
      <c r="B97" t="s">
        <v>513</v>
      </c>
      <c r="C97" s="400" t="s">
        <v>514</v>
      </c>
      <c r="D97" t="s">
        <v>476</v>
      </c>
      <c r="E97" t="s">
        <v>477</v>
      </c>
      <c r="F97">
        <v>3</v>
      </c>
    </row>
    <row r="98" spans="1:6">
      <c r="A98">
        <v>12096</v>
      </c>
      <c r="B98" t="s">
        <v>515</v>
      </c>
      <c r="C98" s="400" t="s">
        <v>514</v>
      </c>
      <c r="D98" t="s">
        <v>469</v>
      </c>
      <c r="E98" t="s">
        <v>470</v>
      </c>
      <c r="F98">
        <v>2</v>
      </c>
    </row>
    <row r="99" spans="1:6">
      <c r="A99">
        <v>12097</v>
      </c>
      <c r="B99" t="s">
        <v>516</v>
      </c>
      <c r="C99" s="400" t="s">
        <v>514</v>
      </c>
      <c r="D99" t="s">
        <v>469</v>
      </c>
      <c r="E99" t="s">
        <v>470</v>
      </c>
      <c r="F99">
        <v>2</v>
      </c>
    </row>
    <row r="100" spans="1:6">
      <c r="A100">
        <v>12015</v>
      </c>
      <c r="B100" t="s">
        <v>517</v>
      </c>
      <c r="C100" s="400" t="s">
        <v>518</v>
      </c>
      <c r="D100" t="s">
        <v>519</v>
      </c>
      <c r="E100" t="s">
        <v>520</v>
      </c>
      <c r="F100">
        <v>2</v>
      </c>
    </row>
    <row r="101" spans="1:6">
      <c r="A101">
        <v>12098</v>
      </c>
      <c r="B101" t="s">
        <v>521</v>
      </c>
      <c r="C101" s="400" t="s">
        <v>518</v>
      </c>
      <c r="D101" t="s">
        <v>474</v>
      </c>
      <c r="E101" t="s">
        <v>475</v>
      </c>
      <c r="F101">
        <v>2</v>
      </c>
    </row>
    <row r="102" spans="1:6">
      <c r="A102">
        <v>12099</v>
      </c>
      <c r="B102" t="s">
        <v>515</v>
      </c>
      <c r="C102" s="400" t="s">
        <v>518</v>
      </c>
      <c r="D102" t="s">
        <v>483</v>
      </c>
      <c r="E102" t="s">
        <v>200</v>
      </c>
      <c r="F102">
        <v>2</v>
      </c>
    </row>
    <row r="103" spans="1:6">
      <c r="A103">
        <v>12100</v>
      </c>
      <c r="B103" t="s">
        <v>522</v>
      </c>
      <c r="C103" s="400" t="s">
        <v>523</v>
      </c>
      <c r="D103" t="s">
        <v>476</v>
      </c>
      <c r="E103" t="s">
        <v>477</v>
      </c>
      <c r="F103">
        <v>3</v>
      </c>
    </row>
    <row r="104" spans="1:6">
      <c r="A104">
        <v>12101</v>
      </c>
      <c r="B104" t="s">
        <v>524</v>
      </c>
      <c r="C104" s="400" t="s">
        <v>525</v>
      </c>
      <c r="D104" t="s">
        <v>479</v>
      </c>
      <c r="E104" t="s">
        <v>216</v>
      </c>
      <c r="F104">
        <v>3</v>
      </c>
    </row>
    <row r="105" spans="1:6">
      <c r="A105">
        <v>12102</v>
      </c>
      <c r="B105" t="s">
        <v>526</v>
      </c>
      <c r="C105" s="400" t="s">
        <v>527</v>
      </c>
      <c r="D105" t="s">
        <v>480</v>
      </c>
      <c r="E105" t="s">
        <v>481</v>
      </c>
      <c r="F105">
        <v>2</v>
      </c>
    </row>
    <row r="106" spans="1:6">
      <c r="A106">
        <v>12103</v>
      </c>
      <c r="B106" t="s">
        <v>528</v>
      </c>
      <c r="C106" s="400" t="s">
        <v>529</v>
      </c>
      <c r="D106" t="s">
        <v>469</v>
      </c>
      <c r="E106" t="s">
        <v>470</v>
      </c>
      <c r="F106">
        <v>2</v>
      </c>
    </row>
    <row r="107" spans="1:6">
      <c r="A107">
        <v>12104</v>
      </c>
      <c r="B107" t="s">
        <v>528</v>
      </c>
      <c r="C107" s="400" t="s">
        <v>529</v>
      </c>
      <c r="D107" t="s">
        <v>483</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3 PC Sokol Lipník - Fafek Petr</v>
      </c>
      <c r="E4" s="157">
        <f ca="1">VLOOKUP(C4,Postupy!$A$3:$AJ$10,36,0)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28 UBU Únětice - Kot Pavel</v>
      </c>
      <c r="E5" s="158">
        <f ca="1">VLOOKUP(C5,Postupy!$A$3:$AJ$10,36,0)</f>
        <v>1</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3 PC Sokol Lipník - Fafek Petr</v>
      </c>
      <c r="I6" s="157">
        <f ca="1">VLOOKUP(G6,Postupy!$A$3:$AL$6,38,0)</f>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13 PC Kolová - Plucar Petr</v>
      </c>
      <c r="I7" s="158">
        <f ca="1">VLOOKUP(G7,Postupy!$A$3:$AL$6,38,0)</f>
        <v>6</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32 PK Osika Plzeň - Radoušová Jana</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13 PC Kolová - Plucar Petr</v>
      </c>
      <c r="E9" s="158">
        <f ca="1">VLOOKUP(C9,Postupy!$A$3:$AJ$10,36,0)</f>
        <v>1</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3 PC Sokol Lipník - Fafek Petr</v>
      </c>
      <c r="M10" s="157">
        <f ca="1">VLOOKUP(K10,Postupy!$A$3:$AN$6,40,0)</f>
        <v>12</v>
      </c>
      <c r="N10" s="27"/>
      <c r="O10" s="39">
        <v>1</v>
      </c>
      <c r="P10" s="135" t="str">
        <f ca="1">IF(AND(M10="",M11="")," ",IF(N(M10)=N(M11)," ",IF(N(M10)&gt;N(M11),L10,L11)))</f>
        <v>15 Sokol Kostomlaty - Vyoral Hynek</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15 Sokol Kostomlaty - Vyoral Hynek</v>
      </c>
      <c r="M11" s="158">
        <f ca="1">VLOOKUP(K11,Postupy!$A$3:$AN$6,40,0)</f>
        <v>13</v>
      </c>
      <c r="N11" s="17"/>
      <c r="O11" s="39">
        <v>2</v>
      </c>
      <c r="P11" s="133" t="str">
        <f ca="1">IF(AND(M10="",M11="")," ",IF(N(M11)=N(M10)," ",IF(N(M11)&gt;N(M10),L10,L11)))</f>
        <v>3 PC Sokol Lipník - Fafek Petr</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14 Petank Club Praha - Vorel Jan</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6 PC Sokol Lipník - Froňková Blanka</v>
      </c>
      <c r="E13" s="158">
        <f ca="1">VLOOKUP(C13,Postupy!$A$3:$AJ$10,36,0)</f>
        <v>1</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6 PC Sokol Lipník - Froňková Blanka</v>
      </c>
      <c r="I14" s="157">
        <f ca="1">VLOOKUP(G14,Postupy!$A$3:$AL$6,38,0)</f>
        <v>8</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15 Sokol Kostomlaty - Vyoral Hynek</v>
      </c>
      <c r="I15" s="158">
        <f ca="1">VLOOKUP(G15,Postupy!$A$3:$AL$6,38,0)</f>
        <v>13</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24 PK Osika Plzeň - Jirkovský Tomáš</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15 Sokol Kostomlaty - Vyoral Hynek</v>
      </c>
      <c r="E17" s="158">
        <f ca="1">VLOOKUP(C17,Postupy!$A$3:$AJ$10,36,0)</f>
        <v>1</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13 PC Kolová - Plucar Petr</v>
      </c>
      <c r="M20" s="157">
        <f ca="1">VLOOKUP(K20,Postupy!$A$3:$AN$6,40,0)</f>
        <v>13</v>
      </c>
      <c r="N20" s="199"/>
      <c r="O20" s="39">
        <v>3</v>
      </c>
      <c r="P20" s="133" t="str">
        <f ca="1">IF(AND(M20="",M21="")," ",IF(N(M20)=N(M21)," ",IF(N(M20)&gt;N(M21),L20,L21)))</f>
        <v>13 PC Kolová - Plucar Petr</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6 PC Sokol Lipník - Froňková Blanka</v>
      </c>
      <c r="M21" s="158">
        <f ca="1">VLOOKUP(K21,Postupy!$A$3:$AN$6,40,0)</f>
        <v>6</v>
      </c>
      <c r="N21" s="187"/>
      <c r="O21" s="39">
        <v>4</v>
      </c>
      <c r="P21" s="133" t="str">
        <f ca="1">IF(AND(M20="",M21="")," ",IF(N(M21)=N(M20)," ",IF(N(M21)&gt;N(M20),L20,L21)))</f>
        <v>6 PC Sokol Lipník - Froňková Blanka</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I10" sqref="I10"/>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28 UBU Únětice - Kot Pavel</v>
      </c>
      <c r="E4" s="157">
        <v>6</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32 PK Osika Plzeň - Radoušová Jana</v>
      </c>
      <c r="E5" s="158">
        <v>13</v>
      </c>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32 PK Osika Plzeň - Radoušová Jana</v>
      </c>
      <c r="I6" s="157">
        <v>1</v>
      </c>
      <c r="J6" s="27"/>
      <c r="K6" s="40">
        <v>5</v>
      </c>
      <c r="L6" s="135" t="str">
        <f ca="1">IF(AND(I6="",I7="")," ",IF(N(I6)=N(I7)," ",IF(N(I6)&gt;N(I7),H6,H7)))</f>
        <v>32 PK Osika Plzeň - Radoušová Jana</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14 Petank Club Praha - Vorel Jan</v>
      </c>
      <c r="I7" s="158">
        <v>0</v>
      </c>
      <c r="J7" s="21"/>
      <c r="K7" s="347">
        <v>6</v>
      </c>
      <c r="L7" s="133" t="str">
        <f ca="1">IF(AND(I6="",I7="")," ",IF(N(I7)=N(I6)," ",IF(N(I7)&gt;N(I6),H6,H7)))</f>
        <v>14 Petank Club Praha - Vorel Jan</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14 Petank Club Praha - Vorel Jan</v>
      </c>
      <c r="E8" s="157">
        <v>1</v>
      </c>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24 PK Osika Plzeň - Jirkovský Tomáš</v>
      </c>
      <c r="E9" s="158">
        <v>0</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28 UBU Únětice - Kot Pavel</v>
      </c>
      <c r="I12" s="157">
        <v>6</v>
      </c>
      <c r="J12" s="199"/>
      <c r="K12" s="132">
        <v>7</v>
      </c>
      <c r="L12" s="133" t="str">
        <f ca="1">IF(AND(I12="",I13="")," ",IF(N(I12)=N(I13)," ",IF(N(I12)&gt;N(I13),H12,H13)))</f>
        <v>24 PK Osika Plzeň - Jirkovský Tomáš</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24 PK Osika Plzeň - Jirkovský Tomáš</v>
      </c>
      <c r="I13" s="158">
        <v>13</v>
      </c>
      <c r="J13" s="187"/>
      <c r="K13" s="347">
        <v>8</v>
      </c>
      <c r="L13" s="133" t="str">
        <f ca="1">IF(AND(I12="",I13="")," ",IF(N(I13)=N(I12)," ",IF(N(I13)&gt;N(I12),H12,H13)))</f>
        <v>28 UBU Únětice - Kot Pavel</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PC Sokol Lipník - Vavrovič Petr ml.</v>
      </c>
      <c r="C3" s="71"/>
      <c r="D3" s="71"/>
      <c r="E3" s="71"/>
    </row>
    <row r="4" spans="1:20" ht="19.5">
      <c r="A4" s="71">
        <v>2</v>
      </c>
      <c r="B4" s="43" t="str">
        <f ca="1">IF(TYPE(VLOOKUP(CONCATENATE($C$1,A4),Skupiny!$A$3:$B$130,2,0))&gt;4," - ",VLOOKUP(CONCATENATE($C$1,A4),Skupiny!$A$3:$B$130,2,0))</f>
        <v>36 SK Sahara Vědomice - Červenková Andrea</v>
      </c>
      <c r="C4" s="71"/>
      <c r="D4" s="71"/>
      <c r="E4" s="71"/>
    </row>
    <row r="5" spans="1:20" ht="19.5">
      <c r="A5" s="71">
        <v>3</v>
      </c>
      <c r="B5" s="43" t="str">
        <f ca="1">IF(TYPE(VLOOKUP(CONCATENATE($C$1,A5),Skupiny!$A$3:$B$130,2,0))&gt;4," - ",VLOOKUP(CONCATENATE($C$1,A5),Skupiny!$A$3:$B$130,2,0))</f>
        <v>37 PEK Stolín - Mallat Oldřich</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PC Sokol Lipník - Vavrovič Petr ml.</v>
      </c>
      <c r="C8" s="75" t="str">
        <f>IF(('Hra 2P'!E8=""),"",'Hra 2P'!E8)</f>
        <v/>
      </c>
      <c r="D8" s="75" t="str">
        <f>IF(('Hra 2P'!F8=""),"",'Hra 2P'!F8)</f>
        <v/>
      </c>
      <c r="E8" s="43" t="str">
        <f ca="1">B6</f>
        <v xml:space="preserve"> - </v>
      </c>
    </row>
    <row r="9" spans="1:20" ht="19.5">
      <c r="A9" s="71"/>
      <c r="B9" s="43" t="str">
        <f ca="1">B4</f>
        <v>36 SK Sahara Vědomice - Červenková Andrea</v>
      </c>
      <c r="C9" s="75">
        <f>IF(('Hra 2P'!E9=""),"",'Hra 2P'!E9)</f>
        <v>4</v>
      </c>
      <c r="D9" s="75">
        <f>IF(('Hra 2P'!F9=""),"",'Hra 2P'!F9)</f>
        <v>13</v>
      </c>
      <c r="E9" s="43" t="str">
        <f ca="1">B5</f>
        <v>37 PEK Stolín - Mallat Oldřich</v>
      </c>
    </row>
    <row r="10" spans="1:20" ht="19.5">
      <c r="A10" s="76" t="s">
        <v>46</v>
      </c>
      <c r="B10" s="43" t="str">
        <f ca="1">IF(TRIM(E8)="-",B8,IF(AND(C8="",D8="")," ",IF(N(C8)&gt;N(D8),B8,E8)))</f>
        <v>1 PC Sokol Lipník - Vavrovič Petr ml.</v>
      </c>
      <c r="C10" s="75">
        <f>IF(('Hra 2P'!E10=""),"",'Hra 2P'!E10)</f>
        <v>13</v>
      </c>
      <c r="D10" s="75">
        <f>IF(('Hra 2P'!F10=""),"",'Hra 2P'!F10)</f>
        <v>5</v>
      </c>
      <c r="E10" s="43" t="str">
        <f ca="1">IF(AND(C9="",D9="")," ",IF(N(C9)&gt;N(D9),B9,E9))</f>
        <v>37 PEK Stolín - Mallat Oldřich</v>
      </c>
    </row>
    <row r="11" spans="1:20" ht="19.5">
      <c r="A11" s="76" t="s">
        <v>47</v>
      </c>
      <c r="B11" s="43" t="str">
        <f ca="1">IF(TRIM(E8)="-",E8,IF(AND(C8="",D8="")," ",IF(N(C8)&gt;N(D8),E8,B8)))</f>
        <v xml:space="preserve"> - </v>
      </c>
      <c r="C11" s="75">
        <f>IF(('Hra 2P'!E11=""),"",'Hra 2P'!E11)</f>
        <v>6</v>
      </c>
      <c r="D11" s="75">
        <f>IF(('Hra 2P'!F11=""),"",'Hra 2P'!F11)</f>
        <v>13</v>
      </c>
      <c r="E11" s="43" t="str">
        <f ca="1">IF(TRIM(E9)="",E9,IF(AND(C9="",D9="")," ",IF(N(C9)&gt;N(D9),E9,B9)))</f>
        <v>36 SK Sahara Vědomice - Červenková Andrea</v>
      </c>
    </row>
    <row r="12" spans="1:20" ht="19.5">
      <c r="A12" s="76" t="s">
        <v>48</v>
      </c>
      <c r="B12" s="43" t="str">
        <f ca="1">IF(TRIM(E10)="",E10,IF(AND(C10="",D10="")," ",IF(N(C10)&gt;N(D10),E10,B10)))</f>
        <v>37 PEK Stolín - Mallat Oldřich</v>
      </c>
      <c r="C12" s="75">
        <f>IF(('Hra 2P'!E12=""),"",'Hra 2P'!E12)</f>
        <v>13</v>
      </c>
      <c r="D12" s="75">
        <f>IF(('Hra 2P'!F12=""),"",'Hra 2P'!F12)</f>
        <v>9</v>
      </c>
      <c r="E12" s="43" t="str">
        <f ca="1">IF(AND(TRIM(B11)="",TRIM(E8)=""),E11,IF(AND(C11="",D11="")," ",IF(N(C11)&gt;N(D11),B11,E11)))</f>
        <v>36 SK Sahara Vědomice - Červenková Andrea</v>
      </c>
    </row>
    <row r="13" spans="1:20" ht="37.15" customHeight="1">
      <c r="A13" s="71"/>
      <c r="B13" s="77" t="s">
        <v>52</v>
      </c>
      <c r="C13" s="78" t="s">
        <v>116</v>
      </c>
      <c r="D13" s="71"/>
      <c r="E13" s="71"/>
    </row>
    <row r="14" spans="1:20" ht="19.5">
      <c r="A14" s="71" t="s">
        <v>31</v>
      </c>
      <c r="B14" s="43" t="str">
        <f ca="1">IF(N(C10)+N(D10)&gt;0,IF(N(C10)&gt;N(D10),B10,E10),"")</f>
        <v>1 PC Sokol Lipník - Vavrovič Petr ml.</v>
      </c>
      <c r="C14" s="74" t="str">
        <f>CONCATENATE($C$1,A3)</f>
        <v>A1</v>
      </c>
      <c r="D14" s="71"/>
      <c r="E14" s="71"/>
    </row>
    <row r="15" spans="1:20" ht="19.5">
      <c r="A15" s="71" t="s">
        <v>32</v>
      </c>
      <c r="B15" s="43" t="str">
        <f ca="1">IF(N(C12)+N(D12)&gt;0,IF(N(C12)&gt;N(D12),B12,E12),"")</f>
        <v>37 PEK Stolín - Mallat Oldřich</v>
      </c>
      <c r="C15" s="74" t="str">
        <f>CONCATENATE($C$1,A4)</f>
        <v>A2</v>
      </c>
      <c r="D15" s="71"/>
      <c r="E15" s="71"/>
    </row>
    <row r="16" spans="1:20" ht="19.5">
      <c r="A16" s="71" t="s">
        <v>33</v>
      </c>
      <c r="B16" s="43" t="str">
        <f ca="1">IF(N(C12)+N(D12)&gt;0,IF(N(C12)&gt;N(D12),E12,B12),"")</f>
        <v>36 SK Sahara Vědomice - Červenková Andrea</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SK Sahara Vědomice - Demčík Milan St.</v>
      </c>
      <c r="C3" s="71"/>
      <c r="D3" s="71"/>
      <c r="E3" s="71"/>
    </row>
    <row r="4" spans="1:20" ht="19.5">
      <c r="A4" s="71">
        <v>2</v>
      </c>
      <c r="B4" s="43" t="str">
        <f ca="1">IF(TYPE(VLOOKUP(CONCATENATE($C$1,A4),Skupiny!$A$3:$B$130,2,0))&gt;4," - ",VLOOKUP(CONCATENATE($C$1,A4),Skupiny!$A$3:$B$130,2,0))</f>
        <v>35 SKP Kulová osma - Slapnička Václav</v>
      </c>
      <c r="C4" s="71"/>
      <c r="D4" s="71"/>
      <c r="E4" s="71"/>
    </row>
    <row r="5" spans="1:20" ht="19.5">
      <c r="A5" s="71">
        <v>3</v>
      </c>
      <c r="B5" s="43" t="str">
        <f ca="1">IF(TYPE(VLOOKUP(CONCATENATE($C$1,A5),Skupiny!$A$3:$B$130,2,0))&gt;4," - ",VLOOKUP(CONCATENATE($C$1,A5),Skupiny!$A$3:$B$130,2,0))</f>
        <v>38 Sokol Kostomlaty - Hercoková Milena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SK Sahara Vědomice - Demčík Milan St.</v>
      </c>
      <c r="C8" s="75" t="str">
        <f>IF(('Hra 2P'!E14=""),"",'Hra 2P'!E14)</f>
        <v/>
      </c>
      <c r="D8" s="75" t="str">
        <f>IF(('Hra 2P'!F14=""),"",'Hra 2P'!F14)</f>
        <v/>
      </c>
      <c r="E8" s="43" t="str">
        <f ca="1">B6</f>
        <v xml:space="preserve"> - </v>
      </c>
    </row>
    <row r="9" spans="1:20" ht="19.5">
      <c r="A9" s="71"/>
      <c r="B9" s="43" t="str">
        <f ca="1">B4</f>
        <v>35 SKP Kulová osma - Slapnička Václav</v>
      </c>
      <c r="C9" s="75">
        <f>IF(('Hra 2P'!E15=""),"",'Hra 2P'!E15)</f>
        <v>13</v>
      </c>
      <c r="D9" s="75">
        <f>IF(('Hra 2P'!F15=""),"",'Hra 2P'!F15)</f>
        <v>1</v>
      </c>
      <c r="E9" s="43" t="str">
        <f ca="1">B5</f>
        <v>38 Sokol Kostomlaty - Hercoková Milena</v>
      </c>
    </row>
    <row r="10" spans="1:20" ht="19.5">
      <c r="A10" s="76" t="s">
        <v>46</v>
      </c>
      <c r="B10" s="43" t="str">
        <f ca="1">IF(TRIM(E8)="-",B8,IF(AND(C8="",D8="")," ",IF(N(C8)&gt;N(D8),B8,E8)))</f>
        <v>2 SK Sahara Vědomice - Demčík Milan St.</v>
      </c>
      <c r="C10" s="75">
        <f>IF(('Hra 2P'!E16=""),"",'Hra 2P'!E16)</f>
        <v>9</v>
      </c>
      <c r="D10" s="75">
        <f>IF(('Hra 2P'!F16=""),"",'Hra 2P'!F16)</f>
        <v>7</v>
      </c>
      <c r="E10" s="43" t="str">
        <f ca="1">IF(AND(C9="",D9="")," ",IF(N(C9)&gt;N(D9),B9,E9))</f>
        <v>35 SKP Kulová osma - Slapnička Václav</v>
      </c>
    </row>
    <row r="11" spans="1:20" ht="19.5">
      <c r="A11" s="76" t="s">
        <v>47</v>
      </c>
      <c r="B11" s="43" t="str">
        <f ca="1">IF(TRIM(E8)="-",E8,IF(AND(C8="",D8="")," ",IF(N(C8)&gt;N(D8),E8,B8)))</f>
        <v xml:space="preserve"> - </v>
      </c>
      <c r="C11" s="75">
        <f>IF(('Hra 2P'!E17=""),"",'Hra 2P'!E17)</f>
        <v>6</v>
      </c>
      <c r="D11" s="75">
        <f>IF(('Hra 2P'!F17=""),"",'Hra 2P'!F17)</f>
        <v>13</v>
      </c>
      <c r="E11" s="43" t="str">
        <f ca="1">IF(TRIM(E9)="",E9,IF(AND(C9="",D9="")," ",IF(N(C9)&gt;N(D9),E9,B9)))</f>
        <v>38 Sokol Kostomlaty - Hercoková Milena</v>
      </c>
    </row>
    <row r="12" spans="1:20" ht="19.5">
      <c r="A12" s="76" t="s">
        <v>48</v>
      </c>
      <c r="B12" s="43" t="str">
        <f ca="1">IF(TRIM(E10)="",E10,IF(AND(C10="",D10="")," ",IF(N(C10)&gt;N(D10),E10,B10)))</f>
        <v>35 SKP Kulová osma - Slapnička Václav</v>
      </c>
      <c r="C12" s="75">
        <f>IF(('Hra 2P'!E18=""),"",'Hra 2P'!E18)</f>
        <v>13</v>
      </c>
      <c r="D12" s="75">
        <f>IF(('Hra 2P'!F18=""),"",'Hra 2P'!F18)</f>
        <v>12</v>
      </c>
      <c r="E12" s="43" t="str">
        <f ca="1">IF(AND(TRIM(B11)="",TRIM(E8)=""),E11,IF(AND(C11="",D11="")," ",IF(N(C11)&gt;N(D11),B11,E11)))</f>
        <v>38 Sokol Kostomlaty - Hercoková Milena</v>
      </c>
    </row>
    <row r="13" spans="1:20" ht="37.15" customHeight="1">
      <c r="A13" s="71"/>
      <c r="B13" s="77" t="s">
        <v>52</v>
      </c>
      <c r="C13" s="78" t="s">
        <v>116</v>
      </c>
      <c r="D13" s="71"/>
      <c r="E13" s="71"/>
    </row>
    <row r="14" spans="1:20" ht="19.5">
      <c r="A14" s="71" t="s">
        <v>31</v>
      </c>
      <c r="B14" s="43" t="str">
        <f ca="1">IF(N(C10)+N(D10)&gt;0,IF(N(C10)&gt;N(D10),B10,E10),"")</f>
        <v>2 SK Sahara Vědomice - Demčík Milan St.</v>
      </c>
      <c r="C14" s="74" t="str">
        <f>CONCATENATE($C$1,A3)</f>
        <v>B1</v>
      </c>
      <c r="D14" s="71"/>
      <c r="E14" s="71"/>
    </row>
    <row r="15" spans="1:20" ht="19.5">
      <c r="A15" s="71" t="s">
        <v>32</v>
      </c>
      <c r="B15" s="43" t="str">
        <f ca="1">IF(N(C12)+N(D12)&gt;0,IF(N(C12)&gt;N(D12),B12,E12),"")</f>
        <v>35 SKP Kulová osma - Slapnička Václav</v>
      </c>
      <c r="C15" s="74" t="str">
        <f>CONCATENATE($C$1,A4)</f>
        <v>B2</v>
      </c>
      <c r="D15" s="71"/>
      <c r="E15" s="71"/>
    </row>
    <row r="16" spans="1:20" ht="19.5">
      <c r="A16" s="71" t="s">
        <v>33</v>
      </c>
      <c r="B16" s="43" t="str">
        <f ca="1">IF(N(C12)+N(D12)&gt;0,IF(N(C12)&gt;N(D12),E12,B12),"")</f>
        <v>38 Sokol Kostomlaty - Hercoková Milena</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PC Sokol Lipník - Fafek Petr</v>
      </c>
      <c r="C3" s="71"/>
      <c r="D3" s="71"/>
      <c r="E3" s="71"/>
    </row>
    <row r="4" spans="1:20" ht="19.5">
      <c r="A4" s="71">
        <v>2</v>
      </c>
      <c r="B4" s="43" t="str">
        <f ca="1">IF(TYPE(VLOOKUP(CONCATENATE($C$1,A4),Skupiny!$A$3:$B$130,2,0))&gt;4," - ",VLOOKUP(CONCATENATE($C$1,A4),Skupiny!$A$3:$B$130,2,0))</f>
        <v>34 PK Osika Plzeň - Špitálský Milan</v>
      </c>
      <c r="C4" s="71"/>
      <c r="D4" s="71"/>
      <c r="E4" s="71"/>
    </row>
    <row r="5" spans="1:20" ht="19.5">
      <c r="A5" s="71">
        <v>3</v>
      </c>
      <c r="B5" s="43" t="str">
        <f ca="1">IF(TYPE(VLOOKUP(CONCATENATE($C$1,A5),Skupiny!$A$3:$B$130,2,0))&gt;4," - ",VLOOKUP(CONCATENATE($C$1,A5),Skupiny!$A$3:$B$130,2,0))</f>
        <v>39 SK Sahara Vědomice - Hocková Kateřina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PC Sokol Lipník - Fafek Petr</v>
      </c>
      <c r="C8" s="75" t="str">
        <f>IF(('Hra 2P'!E20=""),"",'Hra 2P'!E20)</f>
        <v/>
      </c>
      <c r="D8" s="75" t="str">
        <f>IF(('Hra 2P'!F20=""),"",'Hra 2P'!F20)</f>
        <v/>
      </c>
      <c r="E8" s="43" t="str">
        <f ca="1">B6</f>
        <v xml:space="preserve"> - </v>
      </c>
    </row>
    <row r="9" spans="1:20" ht="19.5">
      <c r="A9" s="71"/>
      <c r="B9" s="43" t="str">
        <f ca="1">B4</f>
        <v>34 PK Osika Plzeň - Špitálský Milan</v>
      </c>
      <c r="C9" s="75">
        <f>IF(('Hra 2P'!E21=""),"",'Hra 2P'!E21)</f>
        <v>13</v>
      </c>
      <c r="D9" s="75">
        <f>IF(('Hra 2P'!F21=""),"",'Hra 2P'!F21)</f>
        <v>1</v>
      </c>
      <c r="E9" s="43" t="str">
        <f ca="1">B5</f>
        <v>39 SK Sahara Vědomice - Hocková Kateřina</v>
      </c>
    </row>
    <row r="10" spans="1:20" ht="19.5">
      <c r="A10" s="76" t="s">
        <v>46</v>
      </c>
      <c r="B10" s="43" t="str">
        <f ca="1">IF(TRIM(E8)="-",B8,IF(AND(C8="",D8="")," ",IF(N(C8)&gt;N(D8),B8,E8)))</f>
        <v>3 PC Sokol Lipník - Fafek Petr</v>
      </c>
      <c r="C10" s="75">
        <f>IF(('Hra 2P'!E22=""),"",'Hra 2P'!E22)</f>
        <v>9</v>
      </c>
      <c r="D10" s="75">
        <f>IF(('Hra 2P'!F22=""),"",'Hra 2P'!F22)</f>
        <v>10</v>
      </c>
      <c r="E10" s="43" t="str">
        <f ca="1">IF(AND(C9="",D9="")," ",IF(N(C9)&gt;N(D9),B9,E9))</f>
        <v>34 PK Osika Plzeň - Špitálský Milan</v>
      </c>
    </row>
    <row r="11" spans="1:20" ht="19.5">
      <c r="A11" s="76" t="s">
        <v>47</v>
      </c>
      <c r="B11" s="43" t="str">
        <f ca="1">IF(TRIM(E8)="-",E8,IF(AND(C8="",D8="")," ",IF(N(C8)&gt;N(D8),E8,B8)))</f>
        <v xml:space="preserve"> - </v>
      </c>
      <c r="C11" s="75">
        <f>IF(('Hra 2P'!E23=""),"",'Hra 2P'!E23)</f>
        <v>6</v>
      </c>
      <c r="D11" s="75">
        <f>IF(('Hra 2P'!F23=""),"",'Hra 2P'!F23)</f>
        <v>13</v>
      </c>
      <c r="E11" s="43" t="str">
        <f ca="1">IF(TRIM(E9)="",E9,IF(AND(C9="",D9="")," ",IF(N(C9)&gt;N(D9),E9,B9)))</f>
        <v>39 SK Sahara Vědomice - Hocková Kateřina</v>
      </c>
    </row>
    <row r="12" spans="1:20" ht="19.5">
      <c r="A12" s="76" t="s">
        <v>48</v>
      </c>
      <c r="B12" s="43" t="str">
        <f ca="1">IF(TRIM(E10)="",E10,IF(AND(C10="",D10="")," ",IF(N(C10)&gt;N(D10),E10,B10)))</f>
        <v>3 PC Sokol Lipník - Fafek Petr</v>
      </c>
      <c r="C12" s="75">
        <f>IF(('Hra 2P'!E24=""),"",'Hra 2P'!E24)</f>
        <v>13</v>
      </c>
      <c r="D12" s="75">
        <f>IF(('Hra 2P'!F24=""),"",'Hra 2P'!F24)</f>
        <v>4</v>
      </c>
      <c r="E12" s="43" t="str">
        <f ca="1">IF(AND(TRIM(B11)="",TRIM(E8)=""),E11,IF(AND(C11="",D11="")," ",IF(N(C11)&gt;N(D11),B11,E11)))</f>
        <v>39 SK Sahara Vědomice - Hocková Kateřina</v>
      </c>
    </row>
    <row r="13" spans="1:20" ht="37.15" customHeight="1">
      <c r="A13" s="71"/>
      <c r="B13" s="77" t="s">
        <v>52</v>
      </c>
      <c r="C13" s="78" t="s">
        <v>116</v>
      </c>
      <c r="D13" s="71"/>
      <c r="E13" s="71"/>
    </row>
    <row r="14" spans="1:20" ht="19.5">
      <c r="A14" s="71" t="s">
        <v>31</v>
      </c>
      <c r="B14" s="43" t="str">
        <f ca="1">IF(N(C10)+N(D10)&gt;0,IF(N(C10)&gt;N(D10),B10,E10),"")</f>
        <v>34 PK Osika Plzeň - Špitálský Milan</v>
      </c>
      <c r="C14" s="74" t="str">
        <f>CONCATENATE($C$1,A3)</f>
        <v>C1</v>
      </c>
      <c r="D14" s="71"/>
      <c r="E14" s="71"/>
    </row>
    <row r="15" spans="1:20" ht="19.5">
      <c r="A15" s="71" t="s">
        <v>32</v>
      </c>
      <c r="B15" s="43" t="str">
        <f ca="1">IF(N(C12)+N(D12)&gt;0,IF(N(C12)&gt;N(D12),B12,E12),"")</f>
        <v>3 PC Sokol Lipník - Fafek Petr</v>
      </c>
      <c r="C15" s="74" t="str">
        <f>CONCATENATE($C$1,A4)</f>
        <v>C2</v>
      </c>
      <c r="D15" s="71"/>
      <c r="E15" s="71"/>
    </row>
    <row r="16" spans="1:20" ht="19.5">
      <c r="A16" s="71" t="s">
        <v>33</v>
      </c>
      <c r="B16" s="43" t="str">
        <f ca="1">IF(N(C12)+N(D12)&gt;0,IF(N(C12)&gt;N(D12),E12,B12),"")</f>
        <v>39 SK Sahara Vědomice - Hocková Kateřina</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4 PC Kolová - Kauca Jindřich</v>
      </c>
      <c r="C3" s="71"/>
      <c r="D3" s="71"/>
      <c r="E3" s="71"/>
    </row>
    <row r="4" spans="1:20" ht="19.5">
      <c r="A4" s="71">
        <v>2</v>
      </c>
      <c r="B4" s="43" t="str">
        <f ca="1">IF(TYPE(VLOOKUP(CONCATENATE($C$1,A4),Skupiny!$A$3:$B$130,2,0))&gt;4," - ",VLOOKUP(CONCATENATE($C$1,A4),Skupiny!$A$3:$B$130,2,0))</f>
        <v>33 PEK Stolín - Hájková Iveta</v>
      </c>
      <c r="C4" s="71"/>
      <c r="D4" s="71"/>
      <c r="E4" s="71"/>
    </row>
    <row r="5" spans="1:20" ht="19.5">
      <c r="A5" s="71">
        <v>3</v>
      </c>
      <c r="B5" s="43" t="str">
        <f ca="1">IF(TYPE(VLOOKUP(CONCATENATE($C$1,A5),Skupiny!$A$3:$B$130,2,0))&gt;4," - ",VLOOKUP(CONCATENATE($C$1,A5),Skupiny!$A$3:$B$130,2,0))</f>
        <v>40 Club Rodamiento - Pinkasová Marie</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4 PC Kolová - Kauca Jindřich</v>
      </c>
      <c r="C8" s="75" t="str">
        <f>IF(('Hra 2P'!E26=""),"",'Hra 2P'!E26)</f>
        <v/>
      </c>
      <c r="D8" s="75" t="str">
        <f>IF(('Hra 2P'!F26=""),"",'Hra 2P'!F26)</f>
        <v/>
      </c>
      <c r="E8" s="43" t="str">
        <f ca="1">B6</f>
        <v xml:space="preserve"> - </v>
      </c>
    </row>
    <row r="9" spans="1:20" ht="19.5">
      <c r="A9" s="71"/>
      <c r="B9" s="43" t="str">
        <f ca="1">B4</f>
        <v>33 PEK Stolín - Hájková Iveta</v>
      </c>
      <c r="C9" s="75">
        <f>IF(('Hra 2P'!E27=""),"",'Hra 2P'!E27)</f>
        <v>10</v>
      </c>
      <c r="D9" s="75">
        <f>IF(('Hra 2P'!F27=""),"",'Hra 2P'!F27)</f>
        <v>7</v>
      </c>
      <c r="E9" s="43" t="str">
        <f ca="1">B5</f>
        <v>40 Club Rodamiento - Pinkasová Marie</v>
      </c>
    </row>
    <row r="10" spans="1:20" ht="19.5">
      <c r="A10" s="76" t="s">
        <v>46</v>
      </c>
      <c r="B10" s="43" t="str">
        <f ca="1">IF(TRIM(E8)="-",B8,IF(AND(C8="",D8="")," ",IF(N(C8)&gt;N(D8),B8,E8)))</f>
        <v>4 PC Kolová - Kauca Jindřich</v>
      </c>
      <c r="C10" s="75">
        <f>IF(('Hra 2P'!E28=""),"",'Hra 2P'!E28)</f>
        <v>13</v>
      </c>
      <c r="D10" s="75">
        <f>IF(('Hra 2P'!F28=""),"",'Hra 2P'!F28)</f>
        <v>5</v>
      </c>
      <c r="E10" s="43" t="str">
        <f ca="1">IF(AND(C9="",D9="")," ",IF(N(C9)&gt;N(D9),B9,E9))</f>
        <v>33 PEK Stolín - Hájková Iveta</v>
      </c>
    </row>
    <row r="11" spans="1:20" ht="19.5">
      <c r="A11" s="76" t="s">
        <v>47</v>
      </c>
      <c r="B11" s="43" t="str">
        <f ca="1">IF(TRIM(E8)="-",E8,IF(AND(C8="",D8="")," ",IF(N(C8)&gt;N(D8),E8,B8)))</f>
        <v xml:space="preserve"> - </v>
      </c>
      <c r="C11" s="75">
        <f>IF(('Hra 2P'!E29=""),"",'Hra 2P'!E29)</f>
        <v>6</v>
      </c>
      <c r="D11" s="75">
        <f>IF(('Hra 2P'!F29=""),"",'Hra 2P'!F29)</f>
        <v>13</v>
      </c>
      <c r="E11" s="43" t="str">
        <f ca="1">IF(TRIM(E9)="",E9,IF(AND(C9="",D9="")," ",IF(N(C9)&gt;N(D9),E9,B9)))</f>
        <v>40 Club Rodamiento - Pinkasová Marie</v>
      </c>
    </row>
    <row r="12" spans="1:20" ht="19.5">
      <c r="A12" s="76" t="s">
        <v>48</v>
      </c>
      <c r="B12" s="43" t="str">
        <f ca="1">IF(TRIM(E10)="",E10,IF(AND(C10="",D10="")," ",IF(N(C10)&gt;N(D10),E10,B10)))</f>
        <v>33 PEK Stolín - Hájková Iveta</v>
      </c>
      <c r="C12" s="75">
        <f>IF(('Hra 2P'!E30=""),"",'Hra 2P'!E30)</f>
        <v>13</v>
      </c>
      <c r="D12" s="75">
        <f>IF(('Hra 2P'!F30=""),"",'Hra 2P'!F30)</f>
        <v>6</v>
      </c>
      <c r="E12" s="43" t="str">
        <f ca="1">IF(AND(TRIM(B11)="",TRIM(E8)=""),E11,IF(AND(C11="",D11="")," ",IF(N(C11)&gt;N(D11),B11,E11)))</f>
        <v>40 Club Rodamiento - Pinkasová Marie</v>
      </c>
    </row>
    <row r="13" spans="1:20" ht="37.15" customHeight="1">
      <c r="A13" s="71"/>
      <c r="B13" s="77" t="s">
        <v>52</v>
      </c>
      <c r="C13" s="78" t="s">
        <v>116</v>
      </c>
      <c r="D13" s="71"/>
      <c r="E13" s="71"/>
    </row>
    <row r="14" spans="1:20" ht="19.5">
      <c r="A14" s="71" t="s">
        <v>31</v>
      </c>
      <c r="B14" s="43" t="str">
        <f ca="1">IF(N(C10)+N(D10)&gt;0,IF(N(C10)&gt;N(D10),B10,E10),"")</f>
        <v>4 PC Kolová - Kauca Jindřich</v>
      </c>
      <c r="C14" s="74" t="str">
        <f>CONCATENATE($C$1,A3)</f>
        <v>D1</v>
      </c>
      <c r="D14" s="71"/>
      <c r="E14" s="71"/>
    </row>
    <row r="15" spans="1:20" ht="19.5">
      <c r="A15" s="71" t="s">
        <v>32</v>
      </c>
      <c r="B15" s="43" t="str">
        <f ca="1">IF(N(C12)+N(D12)&gt;0,IF(N(C12)&gt;N(D12),B12,E12),"")</f>
        <v>33 PEK Stolín - Hájková Iveta</v>
      </c>
      <c r="C15" s="74" t="str">
        <f>CONCATENATE($C$1,A4)</f>
        <v>D2</v>
      </c>
      <c r="D15" s="71"/>
      <c r="E15" s="71"/>
    </row>
    <row r="16" spans="1:20" ht="19.5">
      <c r="A16" s="71" t="s">
        <v>33</v>
      </c>
      <c r="B16" s="43" t="str">
        <f ca="1">IF(N(C12)+N(D12)&gt;0,IF(N(C12)&gt;N(D12),E12,B12),"")</f>
        <v>40 Club Rodamiento - Pinkasová Marie</v>
      </c>
      <c r="C16" s="74" t="str">
        <f>CONCATENATE($C$1,A5)</f>
        <v>D3</v>
      </c>
      <c r="D16" s="71"/>
      <c r="E16" s="71"/>
    </row>
    <row r="17" spans="1:5" ht="19.5">
      <c r="A17" s="71" t="s">
        <v>34</v>
      </c>
      <c r="B17" s="79" t="str">
        <f ca="1">IF(N(C11)+N(D11)&gt;0,IF(N(C11)&gt;N(D11),E11,B11),"")</f>
        <v xml:space="preserve"> - </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3</v>
      </c>
      <c r="R1">
        <f ca="1">INDIRECT(ADDRESS(4,A1,1,1,"Hřiště"))</f>
        <v>5</v>
      </c>
      <c r="S1">
        <f ca="1">INDIRECT(ADDRESS(5,A1,1,1,"Hřiště"))</f>
        <v>5</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5 CdP Loděnice - Marhoul Jan</v>
      </c>
      <c r="C3" s="71"/>
      <c r="D3" s="71"/>
      <c r="E3" s="71"/>
    </row>
    <row r="4" spans="1:20" ht="19.5">
      <c r="A4" s="71">
        <v>2</v>
      </c>
      <c r="B4" s="43" t="str">
        <f ca="1">IF(TYPE(VLOOKUP(CONCATENATE($C$1,A4),Skupiny!$A$3:$B$130,2,0))&gt;4," - ",VLOOKUP(CONCATENATE($C$1,A4),Skupiny!$A$3:$B$130,2,0))</f>
        <v>32 PK Osika Plzeň - Radoušová Jana</v>
      </c>
      <c r="C4" s="71"/>
      <c r="D4" s="71"/>
      <c r="E4" s="71"/>
    </row>
    <row r="5" spans="1:20" ht="19.5">
      <c r="A5" s="71">
        <v>3</v>
      </c>
      <c r="B5" s="43" t="str">
        <f ca="1">IF(TYPE(VLOOKUP(CONCATENATE($C$1,A5),Skupiny!$A$3:$B$130,2,0))&gt;4," - ",VLOOKUP(CONCATENATE($C$1,A5),Skupiny!$A$3:$B$130,2,0))</f>
        <v>41 C.T.P. Club Ořech - Leiský Leander</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5 CdP Loděnice - Marhoul Jan</v>
      </c>
      <c r="C8" s="75" t="str">
        <f>IF(('Hra 2P'!E32=""),"",'Hra 2P'!E32)</f>
        <v/>
      </c>
      <c r="D8" s="75" t="str">
        <f>IF(('Hra 2P'!F32=""),"",'Hra 2P'!F32)</f>
        <v/>
      </c>
      <c r="E8" s="43" t="str">
        <f ca="1">B6</f>
        <v xml:space="preserve"> - </v>
      </c>
    </row>
    <row r="9" spans="1:20" ht="19.5">
      <c r="A9" s="71"/>
      <c r="B9" s="43" t="str">
        <f ca="1">B4</f>
        <v>32 PK Osika Plzeň - Radoušová Jana</v>
      </c>
      <c r="C9" s="75">
        <f>IF(('Hra 2P'!E33=""),"",'Hra 2P'!E33)</f>
        <v>13</v>
      </c>
      <c r="D9" s="75">
        <f>IF(('Hra 2P'!F33=""),"",'Hra 2P'!F33)</f>
        <v>4</v>
      </c>
      <c r="E9" s="43" t="str">
        <f ca="1">B5</f>
        <v>41 C.T.P. Club Ořech - Leiský Leander</v>
      </c>
    </row>
    <row r="10" spans="1:20" ht="19.5">
      <c r="A10" s="76" t="s">
        <v>46</v>
      </c>
      <c r="B10" s="43" t="str">
        <f ca="1">IF(TRIM(E8)="-",B8,IF(AND(C8="",D8="")," ",IF(N(C8)&gt;N(D8),B8,E8)))</f>
        <v>5 CdP Loděnice - Marhoul Jan</v>
      </c>
      <c r="C10" s="75">
        <f>IF(('Hra 2P'!E34=""),"",'Hra 2P'!E34)</f>
        <v>4</v>
      </c>
      <c r="D10" s="75">
        <f>IF(('Hra 2P'!F34=""),"",'Hra 2P'!F34)</f>
        <v>13</v>
      </c>
      <c r="E10" s="43" t="str">
        <f ca="1">IF(AND(C9="",D9="")," ",IF(N(C9)&gt;N(D9),B9,E9))</f>
        <v>32 PK Osika Plzeň - Radoušová Jana</v>
      </c>
    </row>
    <row r="11" spans="1:20" ht="19.5">
      <c r="A11" s="76" t="s">
        <v>47</v>
      </c>
      <c r="B11" s="43" t="str">
        <f ca="1">IF(TRIM(E8)="-",E8,IF(AND(C8="",D8="")," ",IF(N(C8)&gt;N(D8),E8,B8)))</f>
        <v xml:space="preserve"> - </v>
      </c>
      <c r="C11" s="75">
        <f>IF(('Hra 2P'!E35=""),"",'Hra 2P'!E35)</f>
        <v>6</v>
      </c>
      <c r="D11" s="75">
        <f>IF(('Hra 2P'!F35=""),"",'Hra 2P'!F35)</f>
        <v>13</v>
      </c>
      <c r="E11" s="43" t="str">
        <f ca="1">IF(TRIM(E9)="",E9,IF(AND(C9="",D9="")," ",IF(N(C9)&gt;N(D9),E9,B9)))</f>
        <v>41 C.T.P. Club Ořech - Leiský Leander</v>
      </c>
    </row>
    <row r="12" spans="1:20" ht="19.5">
      <c r="A12" s="76" t="s">
        <v>48</v>
      </c>
      <c r="B12" s="43" t="str">
        <f ca="1">IF(TRIM(E10)="",E10,IF(AND(C10="",D10="")," ",IF(N(C10)&gt;N(D10),E10,B10)))</f>
        <v>5 CdP Loděnice - Marhoul Jan</v>
      </c>
      <c r="C12" s="75">
        <f>IF(('Hra 2P'!E36=""),"",'Hra 2P'!E36)</f>
        <v>13</v>
      </c>
      <c r="D12" s="75">
        <f>IF(('Hra 2P'!F36=""),"",'Hra 2P'!F36)</f>
        <v>1</v>
      </c>
      <c r="E12" s="43" t="str">
        <f ca="1">IF(AND(TRIM(B11)="",TRIM(E8)=""),E11,IF(AND(C11="",D11="")," ",IF(N(C11)&gt;N(D11),B11,E11)))</f>
        <v>41 C.T.P. Club Ořech - Leiský Leander</v>
      </c>
    </row>
    <row r="13" spans="1:20" ht="37.15" customHeight="1">
      <c r="A13" s="71"/>
      <c r="B13" s="77" t="s">
        <v>52</v>
      </c>
      <c r="C13" s="78" t="s">
        <v>116</v>
      </c>
      <c r="D13" s="71"/>
      <c r="E13" s="71"/>
    </row>
    <row r="14" spans="1:20" ht="19.5">
      <c r="A14" s="71" t="s">
        <v>31</v>
      </c>
      <c r="B14" s="43" t="str">
        <f ca="1">IF(N(C10)+N(D10)&gt;0,IF(N(C10)&gt;N(D10),B10,E10),"")</f>
        <v>32 PK Osika Plzeň - Radoušová Jana</v>
      </c>
      <c r="C14" s="74" t="str">
        <f>CONCATENATE($C$1,A3)</f>
        <v>E1</v>
      </c>
      <c r="D14" s="71"/>
      <c r="E14" s="71"/>
    </row>
    <row r="15" spans="1:20" ht="19.5">
      <c r="A15" s="71" t="s">
        <v>32</v>
      </c>
      <c r="B15" s="43" t="str">
        <f ca="1">IF(N(C12)+N(D12)&gt;0,IF(N(C12)&gt;N(D12),B12,E12),"")</f>
        <v>5 CdP Loděnice - Marhoul Jan</v>
      </c>
      <c r="C15" s="74" t="str">
        <f>CONCATENATE($C$1,A4)</f>
        <v>E2</v>
      </c>
      <c r="D15" s="71"/>
      <c r="E15" s="71"/>
    </row>
    <row r="16" spans="1:20" ht="19.5">
      <c r="A16" s="71" t="s">
        <v>33</v>
      </c>
      <c r="B16" s="43" t="str">
        <f ca="1">IF(N(C12)+N(D12)&gt;0,IF(N(C12)&gt;N(D12),E12,B12),"")</f>
        <v>41 C.T.P. Club Ořech - Leiský Leander</v>
      </c>
      <c r="C16" s="74" t="str">
        <f>CONCATENATE($C$1,A5)</f>
        <v>E3</v>
      </c>
      <c r="D16" s="71"/>
      <c r="E16" s="71"/>
    </row>
    <row r="17" spans="1:5" ht="19.5">
      <c r="A17" s="71" t="s">
        <v>34</v>
      </c>
      <c r="B17" s="79" t="str">
        <f ca="1">IF(N(C11)+N(D11)&gt;0,IF(N(C11)&gt;N(D11),E11,B11),"")</f>
        <v xml:space="preserve"> -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3</v>
      </c>
      <c r="R1">
        <f ca="1">INDIRECT(ADDRESS(4,A1,1,1,"Hřiště"))</f>
        <v>6</v>
      </c>
      <c r="S1">
        <f ca="1">INDIRECT(ADDRESS(5,A1,1,1,"Hřiště"))</f>
        <v>6</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6 PC Sokol Lipník - Froňková Blanka</v>
      </c>
      <c r="C3" s="71"/>
      <c r="D3" s="71"/>
      <c r="E3" s="71"/>
    </row>
    <row r="4" spans="1:20" ht="19.5">
      <c r="A4" s="71">
        <v>2</v>
      </c>
      <c r="B4" s="43" t="str">
        <f ca="1">IF(TYPE(VLOOKUP(CONCATENATE($C$1,A4),Skupiny!$A$3:$B$130,2,0))&gt;4," - ",VLOOKUP(CONCATENATE($C$1,A4),Skupiny!$A$3:$B$130,2,0))</f>
        <v>31 SKP Kulová osma - Lhoták Jaroslav</v>
      </c>
      <c r="C4" s="71"/>
      <c r="D4" s="71"/>
      <c r="E4" s="71"/>
    </row>
    <row r="5" spans="1:20" ht="19.5">
      <c r="A5" s="71">
        <v>3</v>
      </c>
      <c r="B5" s="43" t="str">
        <f ca="1">IF(TYPE(VLOOKUP(CONCATENATE($C$1,A5),Skupiny!$A$3:$B$130,2,0))&gt;4," - ",VLOOKUP(CONCATENATE($C$1,A5),Skupiny!$A$3:$B$130,2,0))</f>
        <v>42 SK Španielka Řepy - Pastorek Jaroslav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6 PC Sokol Lipník - Froňková Blanka</v>
      </c>
      <c r="C8" s="75" t="str">
        <f>IF(('Hra 2P'!E38=""),"",'Hra 2P'!E38)</f>
        <v/>
      </c>
      <c r="D8" s="75" t="str">
        <f>IF(('Hra 2P'!F38=""),"",'Hra 2P'!F38)</f>
        <v/>
      </c>
      <c r="E8" s="43" t="str">
        <f ca="1">B6</f>
        <v xml:space="preserve"> - </v>
      </c>
    </row>
    <row r="9" spans="1:20" ht="19.5">
      <c r="A9" s="71"/>
      <c r="B9" s="43" t="str">
        <f ca="1">B4</f>
        <v>31 SKP Kulová osma - Lhoták Jaroslav</v>
      </c>
      <c r="C9" s="75">
        <f>IF(('Hra 2P'!E39=""),"",'Hra 2P'!E39)</f>
        <v>13</v>
      </c>
      <c r="D9" s="75">
        <f>IF(('Hra 2P'!F39=""),"",'Hra 2P'!F39)</f>
        <v>5</v>
      </c>
      <c r="E9" s="43" t="str">
        <f ca="1">B5</f>
        <v>42 SK Španielka Řepy - Pastorek Jaroslav</v>
      </c>
    </row>
    <row r="10" spans="1:20" ht="19.5">
      <c r="A10" s="76" t="s">
        <v>46</v>
      </c>
      <c r="B10" s="43" t="str">
        <f ca="1">IF(TRIM(E8)="-",B8,IF(AND(C8="",D8="")," ",IF(N(C8)&gt;N(D8),B8,E8)))</f>
        <v>6 PC Sokol Lipník - Froňková Blanka</v>
      </c>
      <c r="C10" s="75">
        <f>IF(('Hra 2P'!E40=""),"",'Hra 2P'!E40)</f>
        <v>13</v>
      </c>
      <c r="D10" s="75">
        <f>IF(('Hra 2P'!F40=""),"",'Hra 2P'!F40)</f>
        <v>6</v>
      </c>
      <c r="E10" s="43" t="str">
        <f ca="1">IF(AND(C9="",D9="")," ",IF(N(C9)&gt;N(D9),B9,E9))</f>
        <v>31 SKP Kulová osma - Lhoták Jaroslav</v>
      </c>
    </row>
    <row r="11" spans="1:20" ht="19.5">
      <c r="A11" s="76" t="s">
        <v>47</v>
      </c>
      <c r="B11" s="43" t="str">
        <f ca="1">IF(TRIM(E8)="-",E8,IF(AND(C8="",D8="")," ",IF(N(C8)&gt;N(D8),E8,B8)))</f>
        <v xml:space="preserve"> - </v>
      </c>
      <c r="C11" s="75">
        <f>IF(('Hra 2P'!E41=""),"",'Hra 2P'!E41)</f>
        <v>6</v>
      </c>
      <c r="D11" s="75">
        <f>IF(('Hra 2P'!F41=""),"",'Hra 2P'!F41)</f>
        <v>13</v>
      </c>
      <c r="E11" s="43" t="str">
        <f ca="1">IF(TRIM(E9)="",E9,IF(AND(C9="",D9="")," ",IF(N(C9)&gt;N(D9),E9,B9)))</f>
        <v>42 SK Španielka Řepy - Pastorek Jaroslav</v>
      </c>
    </row>
    <row r="12" spans="1:20" ht="19.5">
      <c r="A12" s="76" t="s">
        <v>48</v>
      </c>
      <c r="B12" s="43" t="str">
        <f ca="1">IF(TRIM(E10)="",E10,IF(AND(C10="",D10="")," ",IF(N(C10)&gt;N(D10),E10,B10)))</f>
        <v>31 SKP Kulová osma - Lhoták Jaroslav</v>
      </c>
      <c r="C12" s="75">
        <f>IF(('Hra 2P'!E42=""),"",'Hra 2P'!E42)</f>
        <v>6</v>
      </c>
      <c r="D12" s="75">
        <f>IF(('Hra 2P'!F42=""),"",'Hra 2P'!F42)</f>
        <v>13</v>
      </c>
      <c r="E12" s="43" t="str">
        <f ca="1">IF(AND(TRIM(B11)="",TRIM(E8)=""),E11,IF(AND(C11="",D11="")," ",IF(N(C11)&gt;N(D11),B11,E11)))</f>
        <v>42 SK Španielka Řepy - Pastorek Jaroslav</v>
      </c>
    </row>
    <row r="13" spans="1:20" ht="37.15" customHeight="1">
      <c r="A13" s="71"/>
      <c r="B13" s="77" t="s">
        <v>52</v>
      </c>
      <c r="C13" s="78" t="s">
        <v>116</v>
      </c>
      <c r="D13" s="71"/>
      <c r="E13" s="71"/>
    </row>
    <row r="14" spans="1:20" ht="19.5">
      <c r="A14" s="71" t="s">
        <v>31</v>
      </c>
      <c r="B14" s="43" t="str">
        <f ca="1">IF(N(C10)+N(D10)&gt;0,IF(N(C10)&gt;N(D10),B10,E10),"")</f>
        <v>6 PC Sokol Lipník - Froňková Blanka</v>
      </c>
      <c r="C14" s="74" t="str">
        <f>CONCATENATE($C$1,A3)</f>
        <v>F1</v>
      </c>
      <c r="D14" s="71"/>
      <c r="E14" s="71"/>
    </row>
    <row r="15" spans="1:20" ht="19.5">
      <c r="A15" s="71" t="s">
        <v>32</v>
      </c>
      <c r="B15" s="43" t="str">
        <f ca="1">IF(N(C12)+N(D12)&gt;0,IF(N(C12)&gt;N(D12),B12,E12),"")</f>
        <v>42 SK Španielka Řepy - Pastorek Jaroslav</v>
      </c>
      <c r="C15" s="74" t="str">
        <f>CONCATENATE($C$1,A4)</f>
        <v>F2</v>
      </c>
      <c r="D15" s="71"/>
      <c r="E15" s="71"/>
    </row>
    <row r="16" spans="1:20" ht="19.5">
      <c r="A16" s="71" t="s">
        <v>33</v>
      </c>
      <c r="B16" s="43" t="str">
        <f ca="1">IF(N(C12)+N(D12)&gt;0,IF(N(C12)&gt;N(D12),E12,B12),"")</f>
        <v>31 SKP Kulová osma - Lhoták Jaroslav</v>
      </c>
      <c r="C16" s="74" t="str">
        <f>CONCATENATE($C$1,A5)</f>
        <v>F3</v>
      </c>
      <c r="D16" s="71"/>
      <c r="E16" s="71"/>
    </row>
    <row r="17" spans="1:5" ht="19.5">
      <c r="A17" s="71" t="s">
        <v>34</v>
      </c>
      <c r="B17" s="79" t="str">
        <f ca="1">IF(N(C11)+N(D11)&gt;0,IF(N(C11)&gt;N(D11),E11,B11),"")</f>
        <v xml:space="preserve"> -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3</v>
      </c>
      <c r="R1">
        <f ca="1">INDIRECT(ADDRESS(4,A1,1,1,"Hřiště"))</f>
        <v>7</v>
      </c>
      <c r="S1">
        <f ca="1">INDIRECT(ADDRESS(5,A1,1,1,"Hřiště"))</f>
        <v>7</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7 CdP Loděnice - Mrázek Petr</v>
      </c>
      <c r="C3" s="71"/>
      <c r="D3" s="71"/>
      <c r="E3" s="71"/>
    </row>
    <row r="4" spans="1:20" ht="19.5">
      <c r="A4" s="71">
        <v>2</v>
      </c>
      <c r="B4" s="43" t="str">
        <f ca="1">IF(TYPE(VLOOKUP(CONCATENATE($C$1,A4),Skupiny!$A$3:$B$130,2,0))&gt;4," - ",VLOOKUP(CONCATENATE($C$1,A4),Skupiny!$A$3:$B$130,2,0))</f>
        <v>30 SK Španielka Řepy - Holoubek Pavel</v>
      </c>
      <c r="C4" s="71"/>
      <c r="D4" s="71"/>
      <c r="E4" s="71"/>
    </row>
    <row r="5" spans="1:20" ht="19.5">
      <c r="A5" s="71">
        <v>3</v>
      </c>
      <c r="B5" s="43" t="str">
        <f ca="1">IF(TYPE(VLOOKUP(CONCATENATE($C$1,A5),Skupiny!$A$3:$B$130,2,0))&gt;4," - ",VLOOKUP(CONCATENATE($C$1,A5),Skupiny!$A$3:$B$130,2,0))</f>
        <v>43 SK Španielka Řepy - Řezník Alois</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7 CdP Loděnice - Mrázek Petr</v>
      </c>
      <c r="C8" s="75" t="str">
        <f>IF(('Hra 2P'!E44=""),"",'Hra 2P'!E44)</f>
        <v/>
      </c>
      <c r="D8" s="75" t="str">
        <f>IF(('Hra 2P'!F44=""),"",'Hra 2P'!F44)</f>
        <v/>
      </c>
      <c r="E8" s="43" t="str">
        <f ca="1">B6</f>
        <v xml:space="preserve"> - </v>
      </c>
    </row>
    <row r="9" spans="1:20" ht="19.5">
      <c r="A9" s="71"/>
      <c r="B9" s="43" t="str">
        <f ca="1">B4</f>
        <v>30 SK Španielka Řepy - Holoubek Pavel</v>
      </c>
      <c r="C9" s="75">
        <f>IF(('Hra 2P'!E45=""),"",'Hra 2P'!E45)</f>
        <v>11</v>
      </c>
      <c r="D9" s="75">
        <f>IF(('Hra 2P'!F45=""),"",'Hra 2P'!F45)</f>
        <v>12</v>
      </c>
      <c r="E9" s="43" t="str">
        <f ca="1">B5</f>
        <v>43 SK Španielka Řepy - Řezník Alois</v>
      </c>
    </row>
    <row r="10" spans="1:20" ht="19.5">
      <c r="A10" s="76" t="s">
        <v>46</v>
      </c>
      <c r="B10" s="43" t="str">
        <f ca="1">IF(TRIM(E8)="-",B8,IF(AND(C8="",D8="")," ",IF(N(C8)&gt;N(D8),B8,E8)))</f>
        <v>7 CdP Loděnice - Mrázek Petr</v>
      </c>
      <c r="C10" s="75">
        <f>IF(('Hra 2P'!E46=""),"",'Hra 2P'!E46)</f>
        <v>13</v>
      </c>
      <c r="D10" s="75">
        <f>IF(('Hra 2P'!F46=""),"",'Hra 2P'!F46)</f>
        <v>0</v>
      </c>
      <c r="E10" s="43" t="str">
        <f ca="1">IF(AND(C9="",D9="")," ",IF(N(C9)&gt;N(D9),B9,E9))</f>
        <v>43 SK Španielka Řepy - Řezník Alois</v>
      </c>
    </row>
    <row r="11" spans="1:20" ht="19.5">
      <c r="A11" s="76" t="s">
        <v>47</v>
      </c>
      <c r="B11" s="43" t="str">
        <f ca="1">IF(TRIM(E8)="-",E8,IF(AND(C8="",D8="")," ",IF(N(C8)&gt;N(D8),E8,B8)))</f>
        <v xml:space="preserve"> - </v>
      </c>
      <c r="C11" s="75">
        <f>IF(('Hra 2P'!E47=""),"",'Hra 2P'!E47)</f>
        <v>6</v>
      </c>
      <c r="D11" s="75">
        <f>IF(('Hra 2P'!F47=""),"",'Hra 2P'!F47)</f>
        <v>13</v>
      </c>
      <c r="E11" s="43" t="str">
        <f ca="1">IF(TRIM(E9)="",E9,IF(AND(C9="",D9="")," ",IF(N(C9)&gt;N(D9),E9,B9)))</f>
        <v>30 SK Španielka Řepy - Holoubek Pavel</v>
      </c>
    </row>
    <row r="12" spans="1:20" ht="19.5">
      <c r="A12" s="76" t="s">
        <v>48</v>
      </c>
      <c r="B12" s="43" t="str">
        <f ca="1">IF(TRIM(E10)="",E10,IF(AND(C10="",D10="")," ",IF(N(C10)&gt;N(D10),E10,B10)))</f>
        <v>43 SK Španielka Řepy - Řezník Alois</v>
      </c>
      <c r="C12" s="75">
        <f>IF(('Hra 2P'!E48=""),"",'Hra 2P'!E48)</f>
        <v>13</v>
      </c>
      <c r="D12" s="75">
        <f>IF(('Hra 2P'!F48=""),"",'Hra 2P'!F48)</f>
        <v>11</v>
      </c>
      <c r="E12" s="43" t="str">
        <f ca="1">IF(AND(TRIM(B11)="",TRIM(E8)=""),E11,IF(AND(C11="",D11="")," ",IF(N(C11)&gt;N(D11),B11,E11)))</f>
        <v>30 SK Španielka Řepy - Holoubek Pavel</v>
      </c>
    </row>
    <row r="13" spans="1:20" ht="37.15" customHeight="1">
      <c r="A13" s="71"/>
      <c r="B13" s="77" t="s">
        <v>52</v>
      </c>
      <c r="C13" s="78" t="s">
        <v>116</v>
      </c>
      <c r="D13" s="71"/>
      <c r="E13" s="71"/>
    </row>
    <row r="14" spans="1:20" ht="19.5">
      <c r="A14" s="71" t="s">
        <v>31</v>
      </c>
      <c r="B14" s="43" t="str">
        <f ca="1">IF(N(C10)+N(D10)&gt;0,IF(N(C10)&gt;N(D10),B10,E10),"")</f>
        <v>7 CdP Loděnice - Mrázek Petr</v>
      </c>
      <c r="C14" s="74" t="str">
        <f>CONCATENATE($C$1,A3)</f>
        <v>G1</v>
      </c>
      <c r="D14" s="71"/>
      <c r="E14" s="71"/>
    </row>
    <row r="15" spans="1:20" ht="19.5">
      <c r="A15" s="71" t="s">
        <v>32</v>
      </c>
      <c r="B15" s="43" t="str">
        <f ca="1">IF(N(C12)+N(D12)&gt;0,IF(N(C12)&gt;N(D12),B12,E12),"")</f>
        <v>43 SK Španielka Řepy - Řezník Alois</v>
      </c>
      <c r="C15" s="74" t="str">
        <f>CONCATENATE($C$1,A4)</f>
        <v>G2</v>
      </c>
      <c r="D15" s="71"/>
      <c r="E15" s="71"/>
    </row>
    <row r="16" spans="1:20" ht="19.5">
      <c r="A16" s="71" t="s">
        <v>33</v>
      </c>
      <c r="B16" s="43" t="str">
        <f ca="1">IF(N(C12)+N(D12)&gt;0,IF(N(C12)&gt;N(D12),E12,B12),"")</f>
        <v>30 SK Španielka Řepy - Holoubek Pavel</v>
      </c>
      <c r="C16" s="74" t="str">
        <f>CONCATENATE($C$1,A5)</f>
        <v>G3</v>
      </c>
      <c r="D16" s="71"/>
      <c r="E16" s="71"/>
    </row>
    <row r="17" spans="1:5" ht="19.5">
      <c r="A17" s="71" t="s">
        <v>34</v>
      </c>
      <c r="B17" s="79" t="str">
        <f ca="1">IF(N(C11)+N(D11)&gt;0,IF(N(C11)&gt;N(D11),E11,B11),"")</f>
        <v xml:space="preserve"> -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3</v>
      </c>
      <c r="R1">
        <f ca="1">INDIRECT(ADDRESS(4,A1,1,1,"Hřiště"))</f>
        <v>8</v>
      </c>
      <c r="S1">
        <f ca="1">INDIRECT(ADDRESS(5,A1,1,1,"Hřiště"))</f>
        <v>8</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8 PLUK Jablonec - Lukáš Vojtěch</v>
      </c>
      <c r="C3" s="71"/>
      <c r="D3" s="71"/>
      <c r="E3" s="71"/>
    </row>
    <row r="4" spans="1:20" ht="19.5">
      <c r="A4" s="71">
        <v>2</v>
      </c>
      <c r="B4" s="43" t="str">
        <f ca="1">IF(TYPE(VLOOKUP(CONCATENATE($C$1,A4),Skupiny!$A$3:$B$130,2,0))&gt;4," - ",VLOOKUP(CONCATENATE($C$1,A4),Skupiny!$A$3:$B$130,2,0))</f>
        <v>29 SK Sahara Vědomice - Gröschl Zdeněk</v>
      </c>
      <c r="C4" s="71"/>
      <c r="D4" s="71"/>
      <c r="E4" s="71"/>
    </row>
    <row r="5" spans="1:20" ht="19.5">
      <c r="A5" s="71">
        <v>3</v>
      </c>
      <c r="B5" s="43" t="str">
        <f ca="1">IF(TYPE(VLOOKUP(CONCATENATE($C$1,A5),Skupiny!$A$3:$B$130,2,0))&gt;4," - ",VLOOKUP(CONCATENATE($C$1,A5),Skupiny!$A$3:$B$130,2,0))</f>
        <v>44 Spolek Park Grébovka - Nepomucký Jaroslav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8 PLUK Jablonec - Lukáš Vojtěch</v>
      </c>
      <c r="C8" s="75" t="str">
        <f>IF(('Hra 2P'!E50=""),"",'Hra 2P'!E50)</f>
        <v/>
      </c>
      <c r="D8" s="75" t="str">
        <f>IF(('Hra 2P'!F50=""),"",'Hra 2P'!F50)</f>
        <v/>
      </c>
      <c r="E8" s="43" t="str">
        <f ca="1">B6</f>
        <v xml:space="preserve"> - </v>
      </c>
    </row>
    <row r="9" spans="1:20" ht="19.5">
      <c r="A9" s="71"/>
      <c r="B9" s="43" t="str">
        <f ca="1">B4</f>
        <v>29 SK Sahara Vědomice - Gröschl Zdeněk</v>
      </c>
      <c r="C9" s="75">
        <f>IF(('Hra 2P'!E51=""),"",'Hra 2P'!E51)</f>
        <v>10</v>
      </c>
      <c r="D9" s="75">
        <f>IF(('Hra 2P'!F51=""),"",'Hra 2P'!F51)</f>
        <v>11</v>
      </c>
      <c r="E9" s="43" t="str">
        <f ca="1">B5</f>
        <v>44 Spolek Park Grébovka - Nepomucký Jaroslav</v>
      </c>
    </row>
    <row r="10" spans="1:20" ht="19.5">
      <c r="A10" s="76" t="s">
        <v>46</v>
      </c>
      <c r="B10" s="43" t="str">
        <f ca="1">IF(TRIM(E8)="-",B8,IF(AND(C8="",D8="")," ",IF(N(C8)&gt;N(D8),B8,E8)))</f>
        <v>8 PLUK Jablonec - Lukáš Vojtěch</v>
      </c>
      <c r="C10" s="75">
        <f>IF(('Hra 2P'!E52=""),"",'Hra 2P'!E52)</f>
        <v>10</v>
      </c>
      <c r="D10" s="75">
        <f>IF(('Hra 2P'!F52=""),"",'Hra 2P'!F52)</f>
        <v>11</v>
      </c>
      <c r="E10" s="43" t="str">
        <f ca="1">IF(AND(C9="",D9="")," ",IF(N(C9)&gt;N(D9),B9,E9))</f>
        <v>44 Spolek Park Grébovka - Nepomucký Jaroslav</v>
      </c>
    </row>
    <row r="11" spans="1:20" ht="19.5">
      <c r="A11" s="76" t="s">
        <v>47</v>
      </c>
      <c r="B11" s="43" t="str">
        <f ca="1">IF(TRIM(E8)="-",E8,IF(AND(C8="",D8="")," ",IF(N(C8)&gt;N(D8),E8,B8)))</f>
        <v xml:space="preserve"> - </v>
      </c>
      <c r="C11" s="75">
        <f>IF(('Hra 2P'!E53=""),"",'Hra 2P'!E53)</f>
        <v>6</v>
      </c>
      <c r="D11" s="75">
        <f>IF(('Hra 2P'!F53=""),"",'Hra 2P'!F53)</f>
        <v>13</v>
      </c>
      <c r="E11" s="43" t="str">
        <f ca="1">IF(TRIM(E9)="",E9,IF(AND(C9="",D9="")," ",IF(N(C9)&gt;N(D9),E9,B9)))</f>
        <v>29 SK Sahara Vědomice - Gröschl Zdeněk</v>
      </c>
    </row>
    <row r="12" spans="1:20" ht="19.5">
      <c r="A12" s="76" t="s">
        <v>48</v>
      </c>
      <c r="B12" s="43" t="str">
        <f ca="1">IF(TRIM(E10)="",E10,IF(AND(C10="",D10="")," ",IF(N(C10)&gt;N(D10),E10,B10)))</f>
        <v>8 PLUK Jablonec - Lukáš Vojtěch</v>
      </c>
      <c r="C12" s="75">
        <f>IF(('Hra 2P'!E54=""),"",'Hra 2P'!E54)</f>
        <v>13</v>
      </c>
      <c r="D12" s="75">
        <f>IF(('Hra 2P'!F54=""),"",'Hra 2P'!F54)</f>
        <v>6</v>
      </c>
      <c r="E12" s="43" t="str">
        <f ca="1">IF(AND(TRIM(B11)="",TRIM(E8)=""),E11,IF(AND(C11="",D11="")," ",IF(N(C11)&gt;N(D11),B11,E11)))</f>
        <v>29 SK Sahara Vědomice - Gröschl Zdeněk</v>
      </c>
    </row>
    <row r="13" spans="1:20" ht="37.15" customHeight="1">
      <c r="A13" s="71"/>
      <c r="B13" s="77" t="s">
        <v>52</v>
      </c>
      <c r="C13" s="78" t="s">
        <v>116</v>
      </c>
      <c r="D13" s="71"/>
      <c r="E13" s="71"/>
    </row>
    <row r="14" spans="1:20" ht="19.5">
      <c r="A14" s="71" t="s">
        <v>31</v>
      </c>
      <c r="B14" s="43" t="str">
        <f ca="1">IF(N(C10)+N(D10)&gt;0,IF(N(C10)&gt;N(D10),B10,E10),"")</f>
        <v>44 Spolek Park Grébovka - Nepomucký Jaroslav</v>
      </c>
      <c r="C14" s="74" t="str">
        <f>CONCATENATE($C$1,A3)</f>
        <v>H1</v>
      </c>
      <c r="D14" s="71"/>
      <c r="E14" s="71"/>
    </row>
    <row r="15" spans="1:20" ht="19.5">
      <c r="A15" s="71" t="s">
        <v>32</v>
      </c>
      <c r="B15" s="43" t="str">
        <f ca="1">IF(N(C12)+N(D12)&gt;0,IF(N(C12)&gt;N(D12),B12,E12),"")</f>
        <v>8 PLUK Jablonec - Lukáš Vojtěch</v>
      </c>
      <c r="C15" s="74" t="str">
        <f>CONCATENATE($C$1,A4)</f>
        <v>H2</v>
      </c>
      <c r="D15" s="71"/>
      <c r="E15" s="71"/>
    </row>
    <row r="16" spans="1:20" ht="19.5">
      <c r="A16" s="71" t="s">
        <v>33</v>
      </c>
      <c r="B16" s="43" t="str">
        <f ca="1">IF(N(C12)+N(D12)&gt;0,IF(N(C12)&gt;N(D12),E12,B12),"")</f>
        <v>29 SK Sahara Vědomice - Gröschl Zdeněk</v>
      </c>
      <c r="C16" s="74" t="str">
        <f>CONCATENATE($C$1,A5)</f>
        <v>H3</v>
      </c>
      <c r="D16" s="71"/>
      <c r="E16" s="71"/>
    </row>
    <row r="17" spans="1:5" ht="19.5">
      <c r="A17" s="71" t="s">
        <v>34</v>
      </c>
      <c r="B17" s="79" t="str">
        <f ca="1">IF(N(C11)+N(D11)&gt;0,IF(N(C11)&gt;N(D11),E11,B11),"")</f>
        <v xml:space="preserve"> -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3</v>
      </c>
      <c r="R1">
        <f ca="1">INDIRECT(ADDRESS(4,A1,1,1,"Hřiště"))</f>
        <v>9</v>
      </c>
      <c r="S1">
        <f ca="1">INDIRECT(ADDRESS(5,A1,1,1,"Hřiště"))</f>
        <v>9</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9 SK Sahara Vědomice - Mikyška Milan</v>
      </c>
      <c r="C3" s="71"/>
      <c r="D3" s="71"/>
      <c r="E3" s="71"/>
    </row>
    <row r="4" spans="1:20" ht="19.5">
      <c r="A4" s="71">
        <v>2</v>
      </c>
      <c r="B4" s="43" t="str">
        <f ca="1">IF(TYPE(VLOOKUP(CONCATENATE($C$1,A4),Skupiny!$A$3:$B$130,2,0))&gt;4," - ",VLOOKUP(CONCATENATE($C$1,A4),Skupiny!$A$3:$B$130,2,0))</f>
        <v>28 UBU Únětice - Kot Pavel</v>
      </c>
      <c r="C4" s="71"/>
      <c r="D4" s="71"/>
      <c r="E4" s="71"/>
    </row>
    <row r="5" spans="1:20" ht="19.5">
      <c r="A5" s="71">
        <v>3</v>
      </c>
      <c r="B5" s="43" t="str">
        <f ca="1">IF(TYPE(VLOOKUP(CONCATENATE($C$1,A5),Skupiny!$A$3:$B$130,2,0))&gt;4," - ",VLOOKUP(CONCATENATE($C$1,A5),Skupiny!$A$3:$B$130,2,0))</f>
        <v>45 Spolek Park Grébovka - Kremlík Miroslav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9 SK Sahara Vědomice - Mikyška Milan</v>
      </c>
      <c r="C8" s="75" t="str">
        <f>IF(('Hra 2P'!E56=""),"",'Hra 2P'!E56)</f>
        <v/>
      </c>
      <c r="D8" s="75" t="str">
        <f>IF(('Hra 2P'!F56=""),"",'Hra 2P'!F56)</f>
        <v/>
      </c>
      <c r="E8" s="43" t="str">
        <f ca="1">B6</f>
        <v xml:space="preserve"> - </v>
      </c>
    </row>
    <row r="9" spans="1:20" ht="19.5">
      <c r="A9" s="71"/>
      <c r="B9" s="43" t="str">
        <f ca="1">B4</f>
        <v>28 UBU Únětice - Kot Pavel</v>
      </c>
      <c r="C9" s="75">
        <f>IF(('Hra 2P'!E57=""),"",'Hra 2P'!E57)</f>
        <v>10</v>
      </c>
      <c r="D9" s="75">
        <f>IF(('Hra 2P'!F57=""),"",'Hra 2P'!F57)</f>
        <v>7</v>
      </c>
      <c r="E9" s="43" t="str">
        <f ca="1">B5</f>
        <v>45 Spolek Park Grébovka - Kremlík Miroslav</v>
      </c>
    </row>
    <row r="10" spans="1:20" ht="19.5">
      <c r="A10" s="76" t="s">
        <v>46</v>
      </c>
      <c r="B10" s="43" t="str">
        <f ca="1">IF(TRIM(E8)="-",B8,IF(AND(C8="",D8="")," ",IF(N(C8)&gt;N(D8),B8,E8)))</f>
        <v>9 SK Sahara Vědomice - Mikyška Milan</v>
      </c>
      <c r="C10" s="75">
        <f>IF(('Hra 2P'!E58=""),"",'Hra 2P'!E58)</f>
        <v>9</v>
      </c>
      <c r="D10" s="75">
        <f>IF(('Hra 2P'!F58=""),"",'Hra 2P'!F58)</f>
        <v>10</v>
      </c>
      <c r="E10" s="43" t="str">
        <f ca="1">IF(AND(C9="",D9="")," ",IF(N(C9)&gt;N(D9),B9,E9))</f>
        <v>28 UBU Únětice - Kot Pavel</v>
      </c>
    </row>
    <row r="11" spans="1:20" ht="19.5">
      <c r="A11" s="76" t="s">
        <v>47</v>
      </c>
      <c r="B11" s="43" t="str">
        <f ca="1">IF(TRIM(E8)="-",E8,IF(AND(C8="",D8="")," ",IF(N(C8)&gt;N(D8),E8,B8)))</f>
        <v xml:space="preserve"> - </v>
      </c>
      <c r="C11" s="75">
        <f>IF(('Hra 2P'!E59=""),"",'Hra 2P'!E59)</f>
        <v>6</v>
      </c>
      <c r="D11" s="75">
        <f>IF(('Hra 2P'!F59=""),"",'Hra 2P'!F59)</f>
        <v>13</v>
      </c>
      <c r="E11" s="43" t="str">
        <f ca="1">IF(TRIM(E9)="",E9,IF(AND(C9="",D9="")," ",IF(N(C9)&gt;N(D9),E9,B9)))</f>
        <v>45 Spolek Park Grébovka - Kremlík Miroslav</v>
      </c>
    </row>
    <row r="12" spans="1:20" ht="19.5">
      <c r="A12" s="76" t="s">
        <v>48</v>
      </c>
      <c r="B12" s="43" t="str">
        <f ca="1">IF(TRIM(E10)="",E10,IF(AND(C10="",D10="")," ",IF(N(C10)&gt;N(D10),E10,B10)))</f>
        <v>9 SK Sahara Vědomice - Mikyška Milan</v>
      </c>
      <c r="C12" s="75">
        <f>IF(('Hra 2P'!E60=""),"",'Hra 2P'!E60)</f>
        <v>8</v>
      </c>
      <c r="D12" s="75">
        <f>IF(('Hra 2P'!F60=""),"",'Hra 2P'!F60)</f>
        <v>13</v>
      </c>
      <c r="E12" s="43" t="str">
        <f ca="1">IF(AND(TRIM(B11)="",TRIM(E8)=""),E11,IF(AND(C11="",D11="")," ",IF(N(C11)&gt;N(D11),B11,E11)))</f>
        <v>45 Spolek Park Grébovka - Kremlík Miroslav</v>
      </c>
    </row>
    <row r="13" spans="1:20" ht="37.15" customHeight="1">
      <c r="A13" s="71"/>
      <c r="B13" s="77" t="s">
        <v>52</v>
      </c>
      <c r="C13" s="78" t="s">
        <v>116</v>
      </c>
      <c r="D13" s="71"/>
      <c r="E13" s="71"/>
    </row>
    <row r="14" spans="1:20" ht="19.5">
      <c r="A14" s="71" t="s">
        <v>31</v>
      </c>
      <c r="B14" s="43" t="str">
        <f ca="1">IF(N(C10)+N(D10)&gt;0,IF(N(C10)&gt;N(D10),B10,E10),"")</f>
        <v>28 UBU Únětice - Kot Pavel</v>
      </c>
      <c r="C14" s="74" t="str">
        <f>CONCATENATE($C$1,A3)</f>
        <v>I1</v>
      </c>
      <c r="D14" s="71"/>
      <c r="E14" s="71"/>
    </row>
    <row r="15" spans="1:20" ht="19.5">
      <c r="A15" s="71" t="s">
        <v>32</v>
      </c>
      <c r="B15" s="43" t="str">
        <f ca="1">IF(N(C12)+N(D12)&gt;0,IF(N(C12)&gt;N(D12),B12,E12),"")</f>
        <v>45 Spolek Park Grébovka - Kremlík Miroslav</v>
      </c>
      <c r="C15" s="74" t="str">
        <f>CONCATENATE($C$1,A4)</f>
        <v>I2</v>
      </c>
      <c r="D15" s="71"/>
      <c r="E15" s="71"/>
    </row>
    <row r="16" spans="1:20" ht="19.5">
      <c r="A16" s="71" t="s">
        <v>33</v>
      </c>
      <c r="B16" s="43" t="str">
        <f ca="1">IF(N(C12)+N(D12)&gt;0,IF(N(C12)&gt;N(D12),E12,B12),"")</f>
        <v>9 SK Sahara Vědomice - Mikyška Milan</v>
      </c>
      <c r="C16" s="74" t="str">
        <f>CONCATENATE($C$1,A5)</f>
        <v>I3</v>
      </c>
      <c r="D16" s="71"/>
      <c r="E16" s="71"/>
    </row>
    <row r="17" spans="1:5" ht="19.5">
      <c r="A17" s="71" t="s">
        <v>34</v>
      </c>
      <c r="B17" s="79" t="str">
        <f ca="1">IF(N(C11)+N(D11)&gt;0,IF(N(C11)&gt;N(D11),E11,B11),"")</f>
        <v xml:space="preserve"> -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10</v>
      </c>
      <c r="S1">
        <f ca="1">INDIRECT(ADDRESS(5,A1,1,1,"Hřiště"))</f>
        <v>11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SKP Kulová osma - Krejčín Leoš</v>
      </c>
      <c r="C3" s="71"/>
      <c r="D3" s="71"/>
      <c r="E3" s="71"/>
    </row>
    <row r="4" spans="1:20" ht="19.5">
      <c r="A4" s="71">
        <v>2</v>
      </c>
      <c r="B4" s="43" t="str">
        <f ca="1">IF(TYPE(VLOOKUP(CONCATENATE($C$1,A4),Skupiny!$A$3:$B$130,2,0))&gt;4," - ",VLOOKUP(CONCATENATE($C$1,A4),Skupiny!$A$3:$B$130,2,0))</f>
        <v>27 PK Osika Plzeň - Mráz Václav</v>
      </c>
      <c r="C4" s="71"/>
      <c r="D4" s="71"/>
      <c r="E4" s="71"/>
    </row>
    <row r="5" spans="1:20" ht="19.5">
      <c r="A5" s="71">
        <v>3</v>
      </c>
      <c r="B5" s="43" t="str">
        <f ca="1">IF(TYPE(VLOOKUP(CONCATENATE($C$1,A5),Skupiny!$A$3:$B$130,2,0))&gt;4," - ",VLOOKUP(CONCATENATE($C$1,A5),Skupiny!$A$3:$B$130,2,0))</f>
        <v>46 CdP Loděnice - Zderadička Jiří</v>
      </c>
      <c r="C5" s="71"/>
      <c r="D5" s="71"/>
      <c r="E5" s="71"/>
    </row>
    <row r="6" spans="1:20" ht="19.5">
      <c r="A6" s="71">
        <v>4</v>
      </c>
      <c r="B6" s="43" t="str">
        <f ca="1">IF(TYPE(VLOOKUP(CONCATENATE($C$1,A6),Skupiny!$A$3:$B$130,2,0))&gt;4," - ",VLOOKUP(CONCATENATE($C$1,A6),Skupiny!$A$3:$B$130,2,0))</f>
        <v>63 SK Španielka Řepy - Novotná Marie</v>
      </c>
      <c r="C6" s="71"/>
      <c r="D6" s="71"/>
      <c r="E6" s="71"/>
    </row>
    <row r="7" spans="1:20" ht="36.6" customHeight="1">
      <c r="A7" s="71"/>
      <c r="B7" s="71" t="s">
        <v>50</v>
      </c>
      <c r="C7" s="74" t="s">
        <v>51</v>
      </c>
      <c r="D7" s="71" t="s">
        <v>51</v>
      </c>
      <c r="E7" s="71"/>
    </row>
    <row r="8" spans="1:20" ht="19.5">
      <c r="A8" s="71"/>
      <c r="B8" s="43" t="str">
        <f ca="1">B3</f>
        <v>10 SKP Kulová osma - Krejčín Leoš</v>
      </c>
      <c r="C8" s="75">
        <f>IF(('Hra 2P'!E62=""),"",'Hra 2P'!E62)</f>
        <v>13</v>
      </c>
      <c r="D8" s="75">
        <f>IF(('Hra 2P'!F62=""),"",'Hra 2P'!F62)</f>
        <v>4</v>
      </c>
      <c r="E8" s="43" t="str">
        <f ca="1">B6</f>
        <v>63 SK Španielka Řepy - Novotná Marie</v>
      </c>
    </row>
    <row r="9" spans="1:20" ht="19.5">
      <c r="A9" s="71"/>
      <c r="B9" s="43" t="str">
        <f ca="1">B4</f>
        <v>27 PK Osika Plzeň - Mráz Václav</v>
      </c>
      <c r="C9" s="75">
        <f>IF(('Hra 2P'!E63=""),"",'Hra 2P'!E63)</f>
        <v>13</v>
      </c>
      <c r="D9" s="75">
        <f>IF(('Hra 2P'!F63=""),"",'Hra 2P'!F63)</f>
        <v>11</v>
      </c>
      <c r="E9" s="43" t="str">
        <f ca="1">B5</f>
        <v>46 CdP Loděnice - Zderadička Jiří</v>
      </c>
    </row>
    <row r="10" spans="1:20" ht="19.5">
      <c r="A10" s="76" t="s">
        <v>46</v>
      </c>
      <c r="B10" s="43" t="str">
        <f ca="1">IF(TRIM(E8)="-",B8,IF(AND(C8="",D8="")," ",IF(N(C8)&gt;N(D8),B8,E8)))</f>
        <v>10 SKP Kulová osma - Krejčín Leoš</v>
      </c>
      <c r="C10" s="75">
        <f>IF(('Hra 2P'!E64=""),"",'Hra 2P'!E64)</f>
        <v>13</v>
      </c>
      <c r="D10" s="75">
        <f>IF(('Hra 2P'!F64=""),"",'Hra 2P'!F64)</f>
        <v>6</v>
      </c>
      <c r="E10" s="43" t="str">
        <f ca="1">IF(AND(C9="",D9="")," ",IF(N(C9)&gt;N(D9),B9,E9))</f>
        <v>27 PK Osika Plzeň - Mráz Václav</v>
      </c>
    </row>
    <row r="11" spans="1:20" ht="19.5">
      <c r="A11" s="76" t="s">
        <v>47</v>
      </c>
      <c r="B11" s="43" t="str">
        <f ca="1">IF(TRIM(E8)="-",E8,IF(AND(C8="",D8="")," ",IF(N(C8)&gt;N(D8),E8,B8)))</f>
        <v>63 SK Španielka Řepy - Novotná Marie</v>
      </c>
      <c r="C11" s="75">
        <f>IF(('Hra 2P'!E65=""),"",'Hra 2P'!E65)</f>
        <v>1</v>
      </c>
      <c r="D11" s="75">
        <f>IF(('Hra 2P'!F65=""),"",'Hra 2P'!F65)</f>
        <v>13</v>
      </c>
      <c r="E11" s="43" t="str">
        <f ca="1">IF(TRIM(E9)="",E9,IF(AND(C9="",D9="")," ",IF(N(C9)&gt;N(D9),E9,B9)))</f>
        <v>46 CdP Loděnice - Zderadička Jiří</v>
      </c>
    </row>
    <row r="12" spans="1:20" ht="19.5">
      <c r="A12" s="76" t="s">
        <v>48</v>
      </c>
      <c r="B12" s="43" t="str">
        <f ca="1">IF(TRIM(E10)="",E10,IF(AND(C10="",D10="")," ",IF(N(C10)&gt;N(D10),E10,B10)))</f>
        <v>27 PK Osika Plzeň - Mráz Václav</v>
      </c>
      <c r="C12" s="75">
        <f>IF(('Hra 2P'!E66=""),"",'Hra 2P'!E66)</f>
        <v>13</v>
      </c>
      <c r="D12" s="75">
        <f>IF(('Hra 2P'!F66=""),"",'Hra 2P'!F66)</f>
        <v>8</v>
      </c>
      <c r="E12" s="43" t="str">
        <f ca="1">IF(AND(TRIM(B11)="",TRIM(E8)=""),E11,IF(AND(C11="",D11="")," ",IF(N(C11)&gt;N(D11),B11,E11)))</f>
        <v>46 CdP Loděnice - Zderadička Jiří</v>
      </c>
    </row>
    <row r="13" spans="1:20" ht="37.15" customHeight="1">
      <c r="A13" s="71"/>
      <c r="B13" s="77" t="s">
        <v>52</v>
      </c>
      <c r="C13" s="78" t="s">
        <v>116</v>
      </c>
      <c r="D13" s="71"/>
      <c r="E13" s="71"/>
    </row>
    <row r="14" spans="1:20" ht="19.5">
      <c r="A14" s="71" t="s">
        <v>31</v>
      </c>
      <c r="B14" s="43" t="str">
        <f ca="1">IF(N(C10)+N(D10)&gt;0,IF(N(C10)&gt;N(D10),B10,E10),"")</f>
        <v>10 SKP Kulová osma - Krejčín Leoš</v>
      </c>
      <c r="C14" s="74" t="str">
        <f>CONCATENATE($C$1,A3)</f>
        <v>J1</v>
      </c>
      <c r="D14" s="71"/>
      <c r="E14" s="71"/>
    </row>
    <row r="15" spans="1:20" ht="19.5">
      <c r="A15" s="71" t="s">
        <v>32</v>
      </c>
      <c r="B15" s="43" t="str">
        <f ca="1">IF(N(C12)+N(D12)&gt;0,IF(N(C12)&gt;N(D12),B12,E12),"")</f>
        <v>27 PK Osika Plzeň - Mráz Václav</v>
      </c>
      <c r="C15" s="74" t="str">
        <f>CONCATENATE($C$1,A4)</f>
        <v>J2</v>
      </c>
      <c r="D15" s="71"/>
      <c r="E15" s="71"/>
    </row>
    <row r="16" spans="1:20" ht="19.5">
      <c r="A16" s="71" t="s">
        <v>33</v>
      </c>
      <c r="B16" s="43" t="str">
        <f ca="1">IF(N(C12)+N(D12)&gt;0,IF(N(C12)&gt;N(D12),E12,B12),"")</f>
        <v>46 CdP Loděnice - Zderadička Jiří</v>
      </c>
      <c r="C16" s="74" t="str">
        <f>CONCATENATE($C$1,A5)</f>
        <v>J3</v>
      </c>
      <c r="D16" s="71"/>
      <c r="E16" s="71"/>
    </row>
    <row r="17" spans="1:5" ht="19.5">
      <c r="A17" s="71" t="s">
        <v>34</v>
      </c>
      <c r="B17" s="79" t="str">
        <f ca="1">IF(N(C11)+N(D11)&gt;0,IF(N(C11)&gt;N(D11),E11,B11),"")</f>
        <v>63 SK Španielka Řepy - Novotná Marie</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12</v>
      </c>
      <c r="S1">
        <f ca="1">INDIRECT(ADDRESS(5,A1,1,1,"Hřiště"))</f>
        <v>13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Sokol Kostomlaty - Škorničková Jaroslava</v>
      </c>
      <c r="C3" s="71"/>
      <c r="D3" s="71"/>
      <c r="E3" s="71"/>
    </row>
    <row r="4" spans="1:20" ht="19.5">
      <c r="A4" s="71">
        <v>2</v>
      </c>
      <c r="B4" s="43" t="str">
        <f ca="1">IF(TYPE(VLOOKUP(CONCATENATE($C$1,A4),Skupiny!$A$3:$B$130,2,0))&gt;4," - ",VLOOKUP(CONCATENATE($C$1,A4),Skupiny!$A$3:$B$130,2,0))</f>
        <v>26 CdP Loděnice - Nagy Radim</v>
      </c>
      <c r="C4" s="71"/>
      <c r="D4" s="71"/>
      <c r="E4" s="71"/>
    </row>
    <row r="5" spans="1:20" ht="19.5">
      <c r="A5" s="71">
        <v>3</v>
      </c>
      <c r="B5" s="43" t="str">
        <f ca="1">IF(TYPE(VLOOKUP(CONCATENATE($C$1,A5),Skupiny!$A$3:$B$130,2,0))&gt;4," - ",VLOOKUP(CONCATENATE($C$1,A5),Skupiny!$A$3:$B$130,2,0))</f>
        <v>47 CdP Loděnice - Paták Jan</v>
      </c>
      <c r="C5" s="71"/>
      <c r="D5" s="71"/>
      <c r="E5" s="71"/>
    </row>
    <row r="6" spans="1:20" ht="19.5">
      <c r="A6" s="71">
        <v>4</v>
      </c>
      <c r="B6" s="43" t="str">
        <f ca="1">IF(TYPE(VLOOKUP(CONCATENATE($C$1,A6),Skupiny!$A$3:$B$130,2,0))&gt;4," - ",VLOOKUP(CONCATENATE($C$1,A6),Skupiny!$A$3:$B$130,2,0))</f>
        <v>62 CdP Loděnice - Pospíšilová Šárka</v>
      </c>
      <c r="C6" s="71"/>
      <c r="D6" s="71"/>
      <c r="E6" s="71"/>
    </row>
    <row r="7" spans="1:20" ht="36.6" customHeight="1">
      <c r="A7" s="71"/>
      <c r="B7" s="71" t="s">
        <v>50</v>
      </c>
      <c r="C7" s="74" t="s">
        <v>51</v>
      </c>
      <c r="D7" s="71" t="s">
        <v>51</v>
      </c>
      <c r="E7" s="71"/>
    </row>
    <row r="8" spans="1:20" ht="19.5">
      <c r="A8" s="71"/>
      <c r="B8" s="43" t="str">
        <f ca="1">B3</f>
        <v>11 Sokol Kostomlaty - Škorničková Jaroslava</v>
      </c>
      <c r="C8" s="75">
        <f>IF(('Hra 2P'!E68=""),"",'Hra 2P'!E68)</f>
        <v>7</v>
      </c>
      <c r="D8" s="75">
        <f>IF(('Hra 2P'!F68=""),"",'Hra 2P'!F68)</f>
        <v>8</v>
      </c>
      <c r="E8" s="43" t="str">
        <f ca="1">B6</f>
        <v>62 CdP Loděnice - Pospíšilová Šárka</v>
      </c>
    </row>
    <row r="9" spans="1:20" ht="19.5">
      <c r="A9" s="71"/>
      <c r="B9" s="43" t="str">
        <f ca="1">B4</f>
        <v>26 CdP Loděnice - Nagy Radim</v>
      </c>
      <c r="C9" s="75">
        <f>IF(('Hra 2P'!E69=""),"",'Hra 2P'!E69)</f>
        <v>7</v>
      </c>
      <c r="D9" s="75">
        <f>IF(('Hra 2P'!F69=""),"",'Hra 2P'!F69)</f>
        <v>13</v>
      </c>
      <c r="E9" s="43" t="str">
        <f ca="1">B5</f>
        <v>47 CdP Loděnice - Paták Jan</v>
      </c>
    </row>
    <row r="10" spans="1:20" ht="19.5">
      <c r="A10" s="76" t="s">
        <v>46</v>
      </c>
      <c r="B10" s="43" t="str">
        <f ca="1">IF(TRIM(E8)="-",B8,IF(AND(C8="",D8="")," ",IF(N(C8)&gt;N(D8),B8,E8)))</f>
        <v>62 CdP Loděnice - Pospíšilová Šárka</v>
      </c>
      <c r="C10" s="75">
        <f>IF(('Hra 2P'!E70=""),"",'Hra 2P'!E70)</f>
        <v>10</v>
      </c>
      <c r="D10" s="75">
        <f>IF(('Hra 2P'!F70=""),"",'Hra 2P'!F70)</f>
        <v>9</v>
      </c>
      <c r="E10" s="43" t="str">
        <f ca="1">IF(AND(C9="",D9="")," ",IF(N(C9)&gt;N(D9),B9,E9))</f>
        <v>47 CdP Loděnice - Paták Jan</v>
      </c>
    </row>
    <row r="11" spans="1:20" ht="19.5">
      <c r="A11" s="76" t="s">
        <v>47</v>
      </c>
      <c r="B11" s="43" t="str">
        <f ca="1">IF(TRIM(E8)="-",E8,IF(AND(C8="",D8="")," ",IF(N(C8)&gt;N(D8),E8,B8)))</f>
        <v>11 Sokol Kostomlaty - Škorničková Jaroslava</v>
      </c>
      <c r="C11" s="75">
        <f>IF(('Hra 2P'!E71=""),"",'Hra 2P'!E71)</f>
        <v>6</v>
      </c>
      <c r="D11" s="75">
        <f>IF(('Hra 2P'!F71=""),"",'Hra 2P'!F71)</f>
        <v>11</v>
      </c>
      <c r="E11" s="43" t="str">
        <f ca="1">IF(TRIM(E9)="",E9,IF(AND(C9="",D9="")," ",IF(N(C9)&gt;N(D9),E9,B9)))</f>
        <v>26 CdP Loděnice - Nagy Radim</v>
      </c>
    </row>
    <row r="12" spans="1:20" ht="19.5">
      <c r="A12" s="76" t="s">
        <v>48</v>
      </c>
      <c r="B12" s="43" t="str">
        <f ca="1">IF(TRIM(E10)="",E10,IF(AND(C10="",D10="")," ",IF(N(C10)&gt;N(D10),E10,B10)))</f>
        <v>47 CdP Loděnice - Paták Jan</v>
      </c>
      <c r="C12" s="75">
        <f>IF(('Hra 2P'!E72=""),"",'Hra 2P'!E72)</f>
        <v>13</v>
      </c>
      <c r="D12" s="75">
        <f>IF(('Hra 2P'!F72=""),"",'Hra 2P'!F72)</f>
        <v>6</v>
      </c>
      <c r="E12" s="43" t="str">
        <f ca="1">IF(AND(TRIM(B11)="",TRIM(E8)=""),E11,IF(AND(C11="",D11="")," ",IF(N(C11)&gt;N(D11),B11,E11)))</f>
        <v>26 CdP Loděnice - Nagy Radim</v>
      </c>
    </row>
    <row r="13" spans="1:20" ht="37.15" customHeight="1">
      <c r="A13" s="71"/>
      <c r="B13" s="77" t="s">
        <v>52</v>
      </c>
      <c r="C13" s="78" t="s">
        <v>116</v>
      </c>
      <c r="D13" s="71"/>
      <c r="E13" s="71"/>
    </row>
    <row r="14" spans="1:20" ht="19.5">
      <c r="A14" s="71" t="s">
        <v>31</v>
      </c>
      <c r="B14" s="43" t="str">
        <f ca="1">IF(N(C10)+N(D10)&gt;0,IF(N(C10)&gt;N(D10),B10,E10),"")</f>
        <v>62 CdP Loděnice - Pospíšilová Šárka</v>
      </c>
      <c r="C14" s="74" t="str">
        <f>CONCATENATE($C$1,A3)</f>
        <v>K1</v>
      </c>
      <c r="D14" s="71"/>
      <c r="E14" s="71"/>
    </row>
    <row r="15" spans="1:20" ht="19.5">
      <c r="A15" s="71" t="s">
        <v>32</v>
      </c>
      <c r="B15" s="43" t="str">
        <f ca="1">IF(N(C12)+N(D12)&gt;0,IF(N(C12)&gt;N(D12),B12,E12),"")</f>
        <v>47 CdP Loděnice - Paták Jan</v>
      </c>
      <c r="C15" s="74" t="str">
        <f>CONCATENATE($C$1,A4)</f>
        <v>K2</v>
      </c>
      <c r="D15" s="71"/>
      <c r="E15" s="71"/>
    </row>
    <row r="16" spans="1:20" ht="19.5">
      <c r="A16" s="71" t="s">
        <v>33</v>
      </c>
      <c r="B16" s="43" t="str">
        <f ca="1">IF(N(C12)+N(D12)&gt;0,IF(N(C12)&gt;N(D12),E12,B12),"")</f>
        <v>26 CdP Loděnice - Nagy Radim</v>
      </c>
      <c r="C16" s="74" t="str">
        <f>CONCATENATE($C$1,A5)</f>
        <v>K3</v>
      </c>
      <c r="D16" s="71"/>
      <c r="E16" s="71"/>
    </row>
    <row r="17" spans="1:5" ht="19.5">
      <c r="A17" s="71" t="s">
        <v>34</v>
      </c>
      <c r="B17" s="79" t="str">
        <f ca="1">IF(N(C11)+N(D11)&gt;0,IF(N(C11)&gt;N(D11),E11,B11),"")</f>
        <v>11 Sokol Kostomlaty - Škorničková Jaroslava</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SKP Kulová osma - Chmelař Ivo</v>
      </c>
      <c r="C3" s="71"/>
      <c r="D3" s="71"/>
      <c r="E3" s="71"/>
    </row>
    <row r="4" spans="1:20" ht="19.5">
      <c r="A4" s="71">
        <v>2</v>
      </c>
      <c r="B4" s="43" t="str">
        <f ca="1">IF(TYPE(VLOOKUP(CONCATENATE($C$1,A4),Skupiny!$A$3:$B$130,2,0))&gt;4," - ",VLOOKUP(CONCATENATE($C$1,A4),Skupiny!$A$3:$B$130,2,0))</f>
        <v>25 PC Sokol Lipník - Mazúr Pavel</v>
      </c>
      <c r="C4" s="71"/>
      <c r="D4" s="71"/>
      <c r="E4" s="71"/>
    </row>
    <row r="5" spans="1:20" ht="19.5">
      <c r="A5" s="71">
        <v>3</v>
      </c>
      <c r="B5" s="43" t="str">
        <f ca="1">IF(TYPE(VLOOKUP(CONCATENATE($C$1,A5),Skupiny!$A$3:$B$130,2,0))&gt;4," - ",VLOOKUP(CONCATENATE($C$1,A5),Skupiny!$A$3:$B$130,2,0))</f>
        <v>48 PCP Lipník - Reinbergrová Václava</v>
      </c>
      <c r="C5" s="71"/>
      <c r="D5" s="71"/>
      <c r="E5" s="71"/>
    </row>
    <row r="6" spans="1:20" ht="19.5">
      <c r="A6" s="71">
        <v>4</v>
      </c>
      <c r="B6" s="43" t="str">
        <f ca="1">IF(TYPE(VLOOKUP(CONCATENATE($C$1,A6),Skupiny!$A$3:$B$130,2,0))&gt;4," - ",VLOOKUP(CONCATENATE($C$1,A6),Skupiny!$A$3:$B$130,2,0))</f>
        <v>61 SK Španielka Řepy - Prajer Milan</v>
      </c>
      <c r="C6" s="71"/>
      <c r="D6" s="71"/>
      <c r="E6" s="71"/>
    </row>
    <row r="7" spans="1:20" ht="36.6" customHeight="1">
      <c r="A7" s="71"/>
      <c r="B7" s="71" t="s">
        <v>50</v>
      </c>
      <c r="C7" s="74" t="s">
        <v>51</v>
      </c>
      <c r="D7" s="71" t="s">
        <v>51</v>
      </c>
      <c r="E7" s="71"/>
    </row>
    <row r="8" spans="1:20" ht="19.5">
      <c r="A8" s="71"/>
      <c r="B8" s="43" t="str">
        <f ca="1">B3</f>
        <v>12 SKP Kulová osma - Chmelař Ivo</v>
      </c>
      <c r="C8" s="75">
        <f>IF(('Hra 2P'!E74=""),"",'Hra 2P'!E74)</f>
        <v>13</v>
      </c>
      <c r="D8" s="75">
        <f>IF(('Hra 2P'!F74=""),"",'Hra 2P'!F74)</f>
        <v>2</v>
      </c>
      <c r="E8" s="43" t="str">
        <f ca="1">B6</f>
        <v>61 SK Španielka Řepy - Prajer Milan</v>
      </c>
    </row>
    <row r="9" spans="1:20" ht="19.5">
      <c r="A9" s="71"/>
      <c r="B9" s="43" t="str">
        <f ca="1">B4</f>
        <v>25 PC Sokol Lipník - Mazúr Pavel</v>
      </c>
      <c r="C9" s="75">
        <f>IF(('Hra 2P'!E75=""),"",'Hra 2P'!E75)</f>
        <v>10</v>
      </c>
      <c r="D9" s="75">
        <f>IF(('Hra 2P'!F75=""),"",'Hra 2P'!F75)</f>
        <v>13</v>
      </c>
      <c r="E9" s="43" t="str">
        <f ca="1">B5</f>
        <v>48 PCP Lipník - Reinbergrová Václava</v>
      </c>
    </row>
    <row r="10" spans="1:20" ht="19.5">
      <c r="A10" s="76" t="s">
        <v>46</v>
      </c>
      <c r="B10" s="43" t="str">
        <f ca="1">IF(TRIM(E8)="-",B8,IF(AND(C8="",D8="")," ",IF(N(C8)&gt;N(D8),B8,E8)))</f>
        <v>12 SKP Kulová osma - Chmelař Ivo</v>
      </c>
      <c r="C10" s="75">
        <f>IF(('Hra 2P'!E76=""),"",'Hra 2P'!E76)</f>
        <v>11</v>
      </c>
      <c r="D10" s="75">
        <f>IF(('Hra 2P'!F76=""),"",'Hra 2P'!F76)</f>
        <v>10</v>
      </c>
      <c r="E10" s="43" t="str">
        <f ca="1">IF(AND(C9="",D9="")," ",IF(N(C9)&gt;N(D9),B9,E9))</f>
        <v>48 PCP Lipník - Reinbergrová Václava</v>
      </c>
    </row>
    <row r="11" spans="1:20" ht="19.5">
      <c r="A11" s="76" t="s">
        <v>47</v>
      </c>
      <c r="B11" s="43" t="str">
        <f ca="1">IF(TRIM(E8)="-",E8,IF(AND(C8="",D8="")," ",IF(N(C8)&gt;N(D8),E8,B8)))</f>
        <v>61 SK Španielka Řepy - Prajer Milan</v>
      </c>
      <c r="C11" s="75">
        <f>IF(('Hra 2P'!E77=""),"",'Hra 2P'!E77)</f>
        <v>6</v>
      </c>
      <c r="D11" s="75">
        <f>IF(('Hra 2P'!F77=""),"",'Hra 2P'!F77)</f>
        <v>13</v>
      </c>
      <c r="E11" s="43" t="str">
        <f ca="1">IF(TRIM(E9)="",E9,IF(AND(C9="",D9="")," ",IF(N(C9)&gt;N(D9),E9,B9)))</f>
        <v>25 PC Sokol Lipník - Mazúr Pavel</v>
      </c>
    </row>
    <row r="12" spans="1:20" ht="19.5">
      <c r="A12" s="76" t="s">
        <v>48</v>
      </c>
      <c r="B12" s="43" t="str">
        <f ca="1">IF(TRIM(E10)="",E10,IF(AND(C10="",D10="")," ",IF(N(C10)&gt;N(D10),E10,B10)))</f>
        <v>48 PCP Lipník - Reinbergrová Václava</v>
      </c>
      <c r="C12" s="75">
        <f>IF(('Hra 2P'!E78=""),"",'Hra 2P'!E78)</f>
        <v>9</v>
      </c>
      <c r="D12" s="75">
        <f>IF(('Hra 2P'!F78=""),"",'Hra 2P'!F78)</f>
        <v>13</v>
      </c>
      <c r="E12" s="43" t="str">
        <f ca="1">IF(AND(TRIM(B11)="",TRIM(E8)=""),E11,IF(AND(C11="",D11="")," ",IF(N(C11)&gt;N(D11),B11,E11)))</f>
        <v>25 PC Sokol Lipník - Mazúr Pavel</v>
      </c>
    </row>
    <row r="13" spans="1:20" ht="37.15" customHeight="1">
      <c r="A13" s="71"/>
      <c r="B13" s="77" t="s">
        <v>52</v>
      </c>
      <c r="C13" s="78" t="s">
        <v>116</v>
      </c>
      <c r="D13" s="71"/>
      <c r="E13" s="71"/>
    </row>
    <row r="14" spans="1:20" ht="19.5">
      <c r="A14" s="71" t="s">
        <v>31</v>
      </c>
      <c r="B14" s="43" t="str">
        <f ca="1">IF(N(C10)+N(D10)&gt;0,IF(N(C10)&gt;N(D10),B10,E10),"")</f>
        <v>12 SKP Kulová osma - Chmelař Ivo</v>
      </c>
      <c r="C14" s="74" t="str">
        <f>CONCATENATE($C$1,A3)</f>
        <v>L1</v>
      </c>
      <c r="D14" s="71"/>
      <c r="E14" s="71"/>
    </row>
    <row r="15" spans="1:20" ht="19.5">
      <c r="A15" s="71" t="s">
        <v>32</v>
      </c>
      <c r="B15" s="43" t="str">
        <f ca="1">IF(N(C12)+N(D12)&gt;0,IF(N(C12)&gt;N(D12),B12,E12),"")</f>
        <v>25 PC Sokol Lipník - Mazúr Pavel</v>
      </c>
      <c r="C15" s="74" t="str">
        <f>CONCATENATE($C$1,A4)</f>
        <v>L2</v>
      </c>
      <c r="D15" s="71"/>
      <c r="E15" s="71"/>
    </row>
    <row r="16" spans="1:20" ht="19.5">
      <c r="A16" s="71" t="s">
        <v>33</v>
      </c>
      <c r="B16" s="43" t="str">
        <f ca="1">IF(N(C12)+N(D12)&gt;0,IF(N(C12)&gt;N(D12),E12,B12),"")</f>
        <v>48 PCP Lipník - Reinbergrová Václava</v>
      </c>
      <c r="C16" s="74" t="str">
        <f>CONCATENATE($C$1,A5)</f>
        <v>L3</v>
      </c>
      <c r="D16" s="71"/>
      <c r="E16" s="71"/>
    </row>
    <row r="17" spans="1:5" ht="19.5">
      <c r="A17" s="71" t="s">
        <v>34</v>
      </c>
      <c r="B17" s="79" t="str">
        <f ca="1">IF(N(C11)+N(D11)&gt;0,IF(N(C11)&gt;N(D11),E11,B11),"")</f>
        <v>61 SK Španielka Řepy - Prajer Milan</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PC Kolová - Plucar Petr</v>
      </c>
      <c r="C3" s="71"/>
      <c r="D3" s="71"/>
      <c r="E3" s="71"/>
    </row>
    <row r="4" spans="1:20" ht="19.5">
      <c r="A4" s="71">
        <v>2</v>
      </c>
      <c r="B4" s="43" t="str">
        <f ca="1">IF(TYPE(VLOOKUP(CONCATENATE($C$1,A4),Skupiny!$A$3:$B$130,2,0))&gt;4," - ",VLOOKUP(CONCATENATE($C$1,A4),Skupiny!$A$3:$B$130,2,0))</f>
        <v>24 PK Osika Plzeň - Jirkovský Tomáš</v>
      </c>
      <c r="C4" s="71"/>
      <c r="D4" s="71"/>
      <c r="E4" s="71"/>
    </row>
    <row r="5" spans="1:20" ht="19.5">
      <c r="A5" s="71">
        <v>3</v>
      </c>
      <c r="B5" s="43" t="str">
        <f ca="1">IF(TYPE(VLOOKUP(CONCATENATE($C$1,A5),Skupiny!$A$3:$B$130,2,0))&gt;4," - ",VLOOKUP(CONCATENATE($C$1,A5),Skupiny!$A$3:$B$130,2,0))</f>
        <v>49 PEK Stolín - Hájková Dorota</v>
      </c>
      <c r="C5" s="71"/>
      <c r="D5" s="71"/>
      <c r="E5" s="71"/>
    </row>
    <row r="6" spans="1:20" ht="19.5">
      <c r="A6" s="71">
        <v>4</v>
      </c>
      <c r="B6" s="43" t="str">
        <f ca="1">IF(TYPE(VLOOKUP(CONCATENATE($C$1,A6),Skupiny!$A$3:$B$130,2,0))&gt;4," - ",VLOOKUP(CONCATENATE($C$1,A6),Skupiny!$A$3:$B$130,2,0))</f>
        <v>60 PK Osika Plzeň - Přibyl Miroslav</v>
      </c>
      <c r="C6" s="71"/>
      <c r="D6" s="71"/>
      <c r="E6" s="71"/>
    </row>
    <row r="7" spans="1:20" ht="36.6" customHeight="1">
      <c r="A7" s="71"/>
      <c r="B7" s="71" t="s">
        <v>50</v>
      </c>
      <c r="C7" s="74" t="s">
        <v>51</v>
      </c>
      <c r="D7" s="71" t="s">
        <v>51</v>
      </c>
      <c r="E7" s="71"/>
    </row>
    <row r="8" spans="1:20" ht="19.5">
      <c r="A8" s="71"/>
      <c r="B8" s="43" t="str">
        <f ca="1">B3</f>
        <v>13 PC Kolová - Plucar Petr</v>
      </c>
      <c r="C8" s="75">
        <f>IF(('Hra 2P'!E80=""),"",'Hra 2P'!E80)</f>
        <v>13</v>
      </c>
      <c r="D8" s="75">
        <f>IF(('Hra 2P'!F80=""),"",'Hra 2P'!F80)</f>
        <v>1</v>
      </c>
      <c r="E8" s="43" t="str">
        <f ca="1">B6</f>
        <v>60 PK Osika Plzeň - Přibyl Miroslav</v>
      </c>
    </row>
    <row r="9" spans="1:20" ht="19.5">
      <c r="A9" s="71"/>
      <c r="B9" s="43" t="str">
        <f ca="1">B4</f>
        <v>24 PK Osika Plzeň - Jirkovský Tomáš</v>
      </c>
      <c r="C9" s="75">
        <f>IF(('Hra 2P'!E81=""),"",'Hra 2P'!E81)</f>
        <v>9</v>
      </c>
      <c r="D9" s="75">
        <f>IF(('Hra 2P'!F81=""),"",'Hra 2P'!F81)</f>
        <v>11</v>
      </c>
      <c r="E9" s="43" t="str">
        <f ca="1">B5</f>
        <v>49 PEK Stolín - Hájková Dorota</v>
      </c>
    </row>
    <row r="10" spans="1:20" ht="19.5">
      <c r="A10" s="76" t="s">
        <v>46</v>
      </c>
      <c r="B10" s="43" t="str">
        <f ca="1">IF(TRIM(E8)="-",B8,IF(AND(C8="",D8="")," ",IF(N(C8)&gt;N(D8),B8,E8)))</f>
        <v>13 PC Kolová - Plucar Petr</v>
      </c>
      <c r="C10" s="75">
        <f>IF(('Hra 2P'!E82=""),"",'Hra 2P'!E82)</f>
        <v>10</v>
      </c>
      <c r="D10" s="75">
        <f>IF(('Hra 2P'!F82=""),"",'Hra 2P'!F82)</f>
        <v>5</v>
      </c>
      <c r="E10" s="43" t="str">
        <f ca="1">IF(AND(C9="",D9="")," ",IF(N(C9)&gt;N(D9),B9,E9))</f>
        <v>49 PEK Stolín - Hájková Dorota</v>
      </c>
    </row>
    <row r="11" spans="1:20" ht="19.5">
      <c r="A11" s="76" t="s">
        <v>47</v>
      </c>
      <c r="B11" s="43" t="str">
        <f ca="1">IF(TRIM(E8)="-",E8,IF(AND(C8="",D8="")," ",IF(N(C8)&gt;N(D8),E8,B8)))</f>
        <v>60 PK Osika Plzeň - Přibyl Miroslav</v>
      </c>
      <c r="C11" s="75">
        <f>IF(('Hra 2P'!E83=""),"",'Hra 2P'!E83)</f>
        <v>2</v>
      </c>
      <c r="D11" s="75">
        <f>IF(('Hra 2P'!F83=""),"",'Hra 2P'!F83)</f>
        <v>13</v>
      </c>
      <c r="E11" s="43" t="str">
        <f ca="1">IF(TRIM(E9)="",E9,IF(AND(C9="",D9="")," ",IF(N(C9)&gt;N(D9),E9,B9)))</f>
        <v>24 PK Osika Plzeň - Jirkovský Tomáš</v>
      </c>
    </row>
    <row r="12" spans="1:20" ht="19.5">
      <c r="A12" s="76" t="s">
        <v>48</v>
      </c>
      <c r="B12" s="43" t="str">
        <f ca="1">IF(TRIM(E10)="",E10,IF(AND(C10="",D10="")," ",IF(N(C10)&gt;N(D10),E10,B10)))</f>
        <v>49 PEK Stolín - Hájková Dorota</v>
      </c>
      <c r="C12" s="75">
        <f>IF(('Hra 2P'!E84=""),"",'Hra 2P'!E84)</f>
        <v>5</v>
      </c>
      <c r="D12" s="75">
        <f>IF(('Hra 2P'!F84=""),"",'Hra 2P'!F84)</f>
        <v>13</v>
      </c>
      <c r="E12" s="43" t="str">
        <f ca="1">IF(AND(TRIM(B11)="",TRIM(E8)=""),E11,IF(AND(C11="",D11="")," ",IF(N(C11)&gt;N(D11),B11,E11)))</f>
        <v>24 PK Osika Plzeň - Jirkovský Tomáš</v>
      </c>
    </row>
    <row r="13" spans="1:20" ht="37.15" customHeight="1">
      <c r="A13" s="71"/>
      <c r="B13" s="77" t="s">
        <v>52</v>
      </c>
      <c r="C13" s="78" t="s">
        <v>116</v>
      </c>
      <c r="D13" s="71"/>
      <c r="E13" s="71"/>
    </row>
    <row r="14" spans="1:20" ht="19.5">
      <c r="A14" s="71" t="s">
        <v>31</v>
      </c>
      <c r="B14" s="43" t="str">
        <f ca="1">IF(N(C10)+N(D10)&gt;0,IF(N(C10)&gt;N(D10),B10,E10),"")</f>
        <v>13 PC Kolová - Plucar Petr</v>
      </c>
      <c r="C14" s="74" t="str">
        <f>CONCATENATE($C$1,A3)</f>
        <v>M1</v>
      </c>
      <c r="D14" s="71"/>
      <c r="E14" s="71"/>
    </row>
    <row r="15" spans="1:20" ht="19.5">
      <c r="A15" s="71" t="s">
        <v>32</v>
      </c>
      <c r="B15" s="43" t="str">
        <f ca="1">IF(N(C12)+N(D12)&gt;0,IF(N(C12)&gt;N(D12),B12,E12),"")</f>
        <v>24 PK Osika Plzeň - Jirkovský Tomáš</v>
      </c>
      <c r="C15" s="74" t="str">
        <f>CONCATENATE($C$1,A4)</f>
        <v>M2</v>
      </c>
      <c r="D15" s="71"/>
      <c r="E15" s="71"/>
    </row>
    <row r="16" spans="1:20" ht="19.5">
      <c r="A16" s="71" t="s">
        <v>33</v>
      </c>
      <c r="B16" s="43" t="str">
        <f ca="1">IF(N(C12)+N(D12)&gt;0,IF(N(C12)&gt;N(D12),E12,B12),"")</f>
        <v>49 PEK Stolín - Hájková Dorota</v>
      </c>
      <c r="C16" s="74" t="str">
        <f>CONCATENATE($C$1,A5)</f>
        <v>M3</v>
      </c>
      <c r="D16" s="71"/>
      <c r="E16" s="71"/>
    </row>
    <row r="17" spans="1:5" ht="19.5">
      <c r="A17" s="71" t="s">
        <v>34</v>
      </c>
      <c r="B17" s="79" t="str">
        <f ca="1">IF(N(C11)+N(D11)&gt;0,IF(N(C11)&gt;N(D11),E11,B11),"")</f>
        <v>60 PK Osika Plzeň - Přibyl Miroslav</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Petank Club Praha - Vorel Jan</v>
      </c>
      <c r="C3" s="71"/>
      <c r="D3" s="71"/>
      <c r="E3" s="71"/>
    </row>
    <row r="4" spans="1:20" ht="19.5">
      <c r="A4" s="71">
        <v>2</v>
      </c>
      <c r="B4" s="43" t="str">
        <f ca="1">IF(TYPE(VLOOKUP(CONCATENATE($C$1,A4),Skupiny!$A$3:$B$130,2,0))&gt;4," - ",VLOOKUP(CONCATENATE($C$1,A4),Skupiny!$A$3:$B$130,2,0))</f>
        <v>23 Club Rodamiento - Sjögren Magda</v>
      </c>
      <c r="C4" s="71"/>
      <c r="D4" s="71"/>
      <c r="E4" s="71"/>
    </row>
    <row r="5" spans="1:20" ht="19.5">
      <c r="A5" s="71">
        <v>3</v>
      </c>
      <c r="B5" s="43" t="str">
        <f ca="1">IF(TYPE(VLOOKUP(CONCATENATE($C$1,A5),Skupiny!$A$3:$B$130,2,0))&gt;4," - ",VLOOKUP(CONCATENATE($C$1,A5),Skupiny!$A$3:$B$130,2,0))</f>
        <v>50 C.T.P. Club Ořech - Glaser Vladimír</v>
      </c>
      <c r="C5" s="71"/>
      <c r="D5" s="71"/>
      <c r="E5" s="71"/>
    </row>
    <row r="6" spans="1:20" ht="19.5">
      <c r="A6" s="71">
        <v>4</v>
      </c>
      <c r="B6" s="43" t="str">
        <f ca="1">IF(TYPE(VLOOKUP(CONCATENATE($C$1,A6),Skupiny!$A$3:$B$130,2,0))&gt;4," - ",VLOOKUP(CONCATENATE($C$1,A6),Skupiny!$A$3:$B$130,2,0))</f>
        <v>59 CP VARY - Fürst Jiří</v>
      </c>
      <c r="C6" s="71"/>
      <c r="D6" s="71"/>
      <c r="E6" s="71"/>
    </row>
    <row r="7" spans="1:20" ht="36.6" customHeight="1">
      <c r="A7" s="71"/>
      <c r="B7" s="71" t="s">
        <v>50</v>
      </c>
      <c r="C7" s="74" t="s">
        <v>51</v>
      </c>
      <c r="D7" s="71" t="s">
        <v>51</v>
      </c>
      <c r="E7" s="71"/>
    </row>
    <row r="8" spans="1:20" ht="19.5">
      <c r="A8" s="71"/>
      <c r="B8" s="43" t="str">
        <f ca="1">B3</f>
        <v>14 Petank Club Praha - Vorel Jan</v>
      </c>
      <c r="C8" s="75">
        <f>IF(('Hra 2P'!E86=""),"",'Hra 2P'!E86)</f>
        <v>13</v>
      </c>
      <c r="D8" s="75">
        <f>IF(('Hra 2P'!F86=""),"",'Hra 2P'!F86)</f>
        <v>4</v>
      </c>
      <c r="E8" s="43" t="str">
        <f ca="1">B6</f>
        <v>59 CP VARY - Fürst Jiří</v>
      </c>
    </row>
    <row r="9" spans="1:20" ht="19.5">
      <c r="A9" s="71"/>
      <c r="B9" s="43" t="str">
        <f ca="1">B4</f>
        <v>23 Club Rodamiento - Sjögren Magda</v>
      </c>
      <c r="C9" s="75">
        <f>IF(('Hra 2P'!E87=""),"",'Hra 2P'!E87)</f>
        <v>8</v>
      </c>
      <c r="D9" s="75">
        <f>IF(('Hra 2P'!F87=""),"",'Hra 2P'!F87)</f>
        <v>10</v>
      </c>
      <c r="E9" s="43" t="str">
        <f ca="1">B5</f>
        <v>50 C.T.P. Club Ořech - Glaser Vladimír</v>
      </c>
    </row>
    <row r="10" spans="1:20" ht="19.5">
      <c r="A10" s="76" t="s">
        <v>46</v>
      </c>
      <c r="B10" s="43" t="str">
        <f ca="1">IF(TRIM(E8)="-",B8,IF(AND(C8="",D8="")," ",IF(N(C8)&gt;N(D8),B8,E8)))</f>
        <v>14 Petank Club Praha - Vorel Jan</v>
      </c>
      <c r="C10" s="75">
        <f>IF(('Hra 2P'!E88=""),"",'Hra 2P'!E88)</f>
        <v>12</v>
      </c>
      <c r="D10" s="75">
        <f>IF(('Hra 2P'!F88=""),"",'Hra 2P'!F88)</f>
        <v>8</v>
      </c>
      <c r="E10" s="43" t="str">
        <f ca="1">IF(AND(C9="",D9="")," ",IF(N(C9)&gt;N(D9),B9,E9))</f>
        <v>50 C.T.P. Club Ořech - Glaser Vladimír</v>
      </c>
    </row>
    <row r="11" spans="1:20" ht="19.5">
      <c r="A11" s="76" t="s">
        <v>47</v>
      </c>
      <c r="B11" s="43" t="str">
        <f ca="1">IF(TRIM(E8)="-",E8,IF(AND(C8="",D8="")," ",IF(N(C8)&gt;N(D8),E8,B8)))</f>
        <v>59 CP VARY - Fürst Jiří</v>
      </c>
      <c r="C11" s="75">
        <f>IF(('Hra 2P'!E89=""),"",'Hra 2P'!E89)</f>
        <v>3</v>
      </c>
      <c r="D11" s="75">
        <f>IF(('Hra 2P'!F89=""),"",'Hra 2P'!F89)</f>
        <v>13</v>
      </c>
      <c r="E11" s="43" t="str">
        <f ca="1">IF(TRIM(E9)="",E9,IF(AND(C9="",D9="")," ",IF(N(C9)&gt;N(D9),E9,B9)))</f>
        <v>23 Club Rodamiento - Sjögren Magda</v>
      </c>
    </row>
    <row r="12" spans="1:20" ht="19.5">
      <c r="A12" s="76" t="s">
        <v>48</v>
      </c>
      <c r="B12" s="43" t="str">
        <f ca="1">IF(TRIM(E10)="",E10,IF(AND(C10="",D10="")," ",IF(N(C10)&gt;N(D10),E10,B10)))</f>
        <v>50 C.T.P. Club Ořech - Glaser Vladimír</v>
      </c>
      <c r="C12" s="75">
        <f>IF(('Hra 2P'!E90=""),"",'Hra 2P'!E90)</f>
        <v>8</v>
      </c>
      <c r="D12" s="75">
        <f>IF(('Hra 2P'!F90=""),"",'Hra 2P'!F90)</f>
        <v>13</v>
      </c>
      <c r="E12" s="43" t="str">
        <f ca="1">IF(AND(TRIM(B11)="",TRIM(E8)=""),E11,IF(AND(C11="",D11="")," ",IF(N(C11)&gt;N(D11),B11,E11)))</f>
        <v>23 Club Rodamiento - Sjögren Magda</v>
      </c>
    </row>
    <row r="13" spans="1:20" ht="37.15" customHeight="1">
      <c r="A13" s="71"/>
      <c r="B13" s="77" t="s">
        <v>52</v>
      </c>
      <c r="C13" s="78" t="s">
        <v>116</v>
      </c>
      <c r="D13" s="71"/>
      <c r="E13" s="71"/>
    </row>
    <row r="14" spans="1:20" ht="19.5">
      <c r="A14" s="71" t="s">
        <v>31</v>
      </c>
      <c r="B14" s="43" t="str">
        <f ca="1">IF(N(C10)+N(D10)&gt;0,IF(N(C10)&gt;N(D10),B10,E10),"")</f>
        <v>14 Petank Club Praha - Vorel Jan</v>
      </c>
      <c r="C14" s="74" t="str">
        <f>CONCATENATE($C$1,A3)</f>
        <v>N1</v>
      </c>
      <c r="D14" s="71"/>
      <c r="E14" s="71"/>
    </row>
    <row r="15" spans="1:20" ht="19.5">
      <c r="A15" s="71" t="s">
        <v>32</v>
      </c>
      <c r="B15" s="43" t="str">
        <f ca="1">IF(N(C12)+N(D12)&gt;0,IF(N(C12)&gt;N(D12),B12,E12),"")</f>
        <v>23 Club Rodamiento - Sjögren Magda</v>
      </c>
      <c r="C15" s="74" t="str">
        <f>CONCATENATE($C$1,A4)</f>
        <v>N2</v>
      </c>
      <c r="D15" s="71"/>
      <c r="E15" s="71"/>
    </row>
    <row r="16" spans="1:20" ht="19.5">
      <c r="A16" s="71" t="s">
        <v>33</v>
      </c>
      <c r="B16" s="43" t="str">
        <f ca="1">IF(N(C12)+N(D12)&gt;0,IF(N(C12)&gt;N(D12),E12,B12),"")</f>
        <v>50 C.T.P. Club Ořech - Glaser Vladimír</v>
      </c>
      <c r="C16" s="74" t="str">
        <f>CONCATENATE($C$1,A5)</f>
        <v>N3</v>
      </c>
      <c r="D16" s="71"/>
      <c r="E16" s="71"/>
    </row>
    <row r="17" spans="1:5" ht="19.5">
      <c r="A17" s="71" t="s">
        <v>34</v>
      </c>
      <c r="B17" s="79" t="str">
        <f ca="1">IF(N(C11)+N(D11)&gt;0,IF(N(C11)&gt;N(D11),E11,B11),"")</f>
        <v>59 CP VARY - Fürst Jiří</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Sokol Kostomlaty - Vyoral Hynek</v>
      </c>
      <c r="C3" s="71"/>
      <c r="D3" s="71"/>
      <c r="E3" s="71"/>
    </row>
    <row r="4" spans="1:20" ht="19.5">
      <c r="A4" s="71">
        <v>2</v>
      </c>
      <c r="B4" s="43" t="str">
        <f ca="1">IF(TYPE(VLOOKUP(CONCATENATE($C$1,A4),Skupiny!$A$3:$B$130,2,0))&gt;4," - ",VLOOKUP(CONCATENATE($C$1,A4),Skupiny!$A$3:$B$130,2,0))</f>
        <v>22 SKP Kulová osma - Zátka Miloslav</v>
      </c>
      <c r="C4" s="71"/>
      <c r="D4" s="71"/>
      <c r="E4" s="71"/>
    </row>
    <row r="5" spans="1:20" ht="19.5">
      <c r="A5" s="71">
        <v>3</v>
      </c>
      <c r="B5" s="43" t="str">
        <f ca="1">IF(TYPE(VLOOKUP(CONCATENATE($C$1,A5),Skupiny!$A$3:$B$130,2,0))&gt;4," - ",VLOOKUP(CONCATENATE($C$1,A5),Skupiny!$A$3:$B$130,2,0))</f>
        <v>51 SKP Kulová osma - Fára Jindřich</v>
      </c>
      <c r="C5" s="71"/>
      <c r="D5" s="71"/>
      <c r="E5" s="71"/>
    </row>
    <row r="6" spans="1:20" ht="19.5">
      <c r="A6" s="71">
        <v>4</v>
      </c>
      <c r="B6" s="43" t="str">
        <f ca="1">IF(TYPE(VLOOKUP(CONCATENATE($C$1,A6),Skupiny!$A$3:$B$130,2,0))&gt;4," - ",VLOOKUP(CONCATENATE($C$1,A6),Skupiny!$A$3:$B$130,2,0))</f>
        <v>58 SKP Kulová osma - Pavýza Milan</v>
      </c>
      <c r="C6" s="71"/>
      <c r="D6" s="71"/>
      <c r="E6" s="71"/>
    </row>
    <row r="7" spans="1:20" ht="36.6" customHeight="1">
      <c r="A7" s="71"/>
      <c r="B7" s="71" t="s">
        <v>50</v>
      </c>
      <c r="C7" s="74" t="s">
        <v>51</v>
      </c>
      <c r="D7" s="71" t="s">
        <v>51</v>
      </c>
      <c r="E7" s="71"/>
    </row>
    <row r="8" spans="1:20" ht="19.5">
      <c r="A8" s="71"/>
      <c r="B8" s="43" t="str">
        <f ca="1">B3</f>
        <v>15 Sokol Kostomlaty - Vyoral Hynek</v>
      </c>
      <c r="C8" s="75">
        <f>IF(('Hra 2P'!E92=""),"",'Hra 2P'!E92)</f>
        <v>13</v>
      </c>
      <c r="D8" s="75">
        <f>IF(('Hra 2P'!F92=""),"",'Hra 2P'!F92)</f>
        <v>2</v>
      </c>
      <c r="E8" s="43" t="str">
        <f ca="1">B6</f>
        <v>58 SKP Kulová osma - Pavýza Milan</v>
      </c>
    </row>
    <row r="9" spans="1:20" ht="19.5">
      <c r="A9" s="71"/>
      <c r="B9" s="43" t="str">
        <f ca="1">B4</f>
        <v>22 SKP Kulová osma - Zátka Miloslav</v>
      </c>
      <c r="C9" s="75">
        <f>IF(('Hra 2P'!E93=""),"",'Hra 2P'!E93)</f>
        <v>13</v>
      </c>
      <c r="D9" s="75">
        <f>IF(('Hra 2P'!F93=""),"",'Hra 2P'!F93)</f>
        <v>1</v>
      </c>
      <c r="E9" s="43" t="str">
        <f ca="1">B5</f>
        <v>51 SKP Kulová osma - Fára Jindřich</v>
      </c>
    </row>
    <row r="10" spans="1:20" ht="19.5">
      <c r="A10" s="76" t="s">
        <v>46</v>
      </c>
      <c r="B10" s="43" t="str">
        <f ca="1">IF(TRIM(E8)="-",B8,IF(AND(C8="",D8="")," ",IF(N(C8)&gt;N(D8),B8,E8)))</f>
        <v>15 Sokol Kostomlaty - Vyoral Hynek</v>
      </c>
      <c r="C10" s="75">
        <f>IF(('Hra 2P'!E94=""),"",'Hra 2P'!E94)</f>
        <v>13</v>
      </c>
      <c r="D10" s="75">
        <f>IF(('Hra 2P'!F94=""),"",'Hra 2P'!F94)</f>
        <v>2</v>
      </c>
      <c r="E10" s="43" t="str">
        <f ca="1">IF(AND(C9="",D9="")," ",IF(N(C9)&gt;N(D9),B9,E9))</f>
        <v>22 SKP Kulová osma - Zátka Miloslav</v>
      </c>
    </row>
    <row r="11" spans="1:20" ht="19.5">
      <c r="A11" s="76" t="s">
        <v>47</v>
      </c>
      <c r="B11" s="43" t="str">
        <f ca="1">IF(TRIM(E8)="-",E8,IF(AND(C8="",D8="")," ",IF(N(C8)&gt;N(D8),E8,B8)))</f>
        <v>58 SKP Kulová osma - Pavýza Milan</v>
      </c>
      <c r="C11" s="75">
        <f>IF(('Hra 2P'!E95=""),"",'Hra 2P'!E95)</f>
        <v>12</v>
      </c>
      <c r="D11" s="75">
        <f>IF(('Hra 2P'!F95=""),"",'Hra 2P'!F95)</f>
        <v>13</v>
      </c>
      <c r="E11" s="43" t="str">
        <f ca="1">IF(TRIM(E9)="",E9,IF(AND(C9="",D9="")," ",IF(N(C9)&gt;N(D9),E9,B9)))</f>
        <v>51 SKP Kulová osma - Fára Jindřich</v>
      </c>
    </row>
    <row r="12" spans="1:20" ht="19.5">
      <c r="A12" s="76" t="s">
        <v>48</v>
      </c>
      <c r="B12" s="43" t="str">
        <f ca="1">IF(TRIM(E10)="",E10,IF(AND(C10="",D10="")," ",IF(N(C10)&gt;N(D10),E10,B10)))</f>
        <v>22 SKP Kulová osma - Zátka Miloslav</v>
      </c>
      <c r="C12" s="75">
        <f>IF(('Hra 2P'!E96=""),"",'Hra 2P'!E96)</f>
        <v>13</v>
      </c>
      <c r="D12" s="75">
        <f>IF(('Hra 2P'!F96=""),"",'Hra 2P'!F96)</f>
        <v>6</v>
      </c>
      <c r="E12" s="43" t="str">
        <f ca="1">IF(AND(TRIM(B11)="",TRIM(E8)=""),E11,IF(AND(C11="",D11="")," ",IF(N(C11)&gt;N(D11),B11,E11)))</f>
        <v>51 SKP Kulová osma - Fára Jindřich</v>
      </c>
    </row>
    <row r="13" spans="1:20" ht="37.15" customHeight="1">
      <c r="A13" s="71"/>
      <c r="B13" s="77" t="s">
        <v>52</v>
      </c>
      <c r="C13" s="78" t="s">
        <v>116</v>
      </c>
      <c r="D13" s="71"/>
      <c r="E13" s="71"/>
    </row>
    <row r="14" spans="1:20" ht="19.5">
      <c r="A14" s="71" t="s">
        <v>31</v>
      </c>
      <c r="B14" s="43" t="str">
        <f ca="1">IF(N(C10)+N(D10)&gt;0,IF(N(C10)&gt;N(D10),B10,E10),"")</f>
        <v>15 Sokol Kostomlaty - Vyoral Hynek</v>
      </c>
      <c r="C14" s="74" t="str">
        <f>CONCATENATE($C$1,A3)</f>
        <v>O1</v>
      </c>
      <c r="D14" s="71"/>
      <c r="E14" s="71"/>
    </row>
    <row r="15" spans="1:20" ht="19.5">
      <c r="A15" s="71" t="s">
        <v>32</v>
      </c>
      <c r="B15" s="43" t="str">
        <f ca="1">IF(N(C12)+N(D12)&gt;0,IF(N(C12)&gt;N(D12),B12,E12),"")</f>
        <v>22 SKP Kulová osma - Zátka Miloslav</v>
      </c>
      <c r="C15" s="74" t="str">
        <f>CONCATENATE($C$1,A4)</f>
        <v>O2</v>
      </c>
      <c r="D15" s="71"/>
      <c r="E15" s="71"/>
    </row>
    <row r="16" spans="1:20" ht="19.5">
      <c r="A16" s="71" t="s">
        <v>33</v>
      </c>
      <c r="B16" s="43" t="str">
        <f ca="1">IF(N(C12)+N(D12)&gt;0,IF(N(C12)&gt;N(D12),E12,B12),"")</f>
        <v>51 SKP Kulová osma - Fára Jindřich</v>
      </c>
      <c r="C16" s="74" t="str">
        <f>CONCATENATE($C$1,A5)</f>
        <v>O3</v>
      </c>
      <c r="D16" s="71"/>
      <c r="E16" s="71"/>
    </row>
    <row r="17" spans="1:5" ht="19.5">
      <c r="A17" s="71" t="s">
        <v>34</v>
      </c>
      <c r="B17" s="79" t="str">
        <f ca="1">IF(N(C11)+N(D11)&gt;0,IF(N(C11)&gt;N(D11),E11,B11),"")</f>
        <v>58 SKP Kulová osma - Pavýza Milan</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1. KPK Vrchlabí - Mašek Pavel</v>
      </c>
      <c r="C3" s="71"/>
      <c r="D3" s="71"/>
      <c r="E3" s="71"/>
    </row>
    <row r="4" spans="1:20" ht="19.5">
      <c r="A4" s="71">
        <v>2</v>
      </c>
      <c r="B4" s="43" t="str">
        <f ca="1">IF(TYPE(VLOOKUP(CONCATENATE($C$1,A4),Skupiny!$A$3:$B$130,2,0))&gt;4," - ",VLOOKUP(CONCATENATE($C$1,A4),Skupiny!$A$3:$B$130,2,0))</f>
        <v>21 Sokol Kostomlaty - Vaníček Rudolf</v>
      </c>
      <c r="C4" s="71"/>
      <c r="D4" s="71"/>
      <c r="E4" s="71"/>
    </row>
    <row r="5" spans="1:20" ht="19.5">
      <c r="A5" s="71">
        <v>3</v>
      </c>
      <c r="B5" s="43" t="str">
        <f ca="1">IF(TYPE(VLOOKUP(CONCATENATE($C$1,A5),Skupiny!$A$3:$B$130,2,0))&gt;4," - ",VLOOKUP(CONCATENATE($C$1,A5),Skupiny!$A$3:$B$130,2,0))</f>
        <v>52 CdP Loděnice - Janoš Jiří</v>
      </c>
      <c r="C5" s="71"/>
      <c r="D5" s="71"/>
      <c r="E5" s="71"/>
    </row>
    <row r="6" spans="1:20" ht="19.5">
      <c r="A6" s="71">
        <v>4</v>
      </c>
      <c r="B6" s="43" t="str">
        <f ca="1">IF(TYPE(VLOOKUP(CONCATENATE($C$1,A6),Skupiny!$A$3:$B$130,2,0))&gt;4," - ",VLOOKUP(CONCATENATE($C$1,A6),Skupiny!$A$3:$B$130,2,0))</f>
        <v>57 Orel Řečkovice - Leistnerová Lucie</v>
      </c>
      <c r="C6" s="71"/>
      <c r="D6" s="71"/>
      <c r="E6" s="71"/>
    </row>
    <row r="7" spans="1:20" ht="36.6" customHeight="1">
      <c r="A7" s="71"/>
      <c r="B7" s="71" t="s">
        <v>50</v>
      </c>
      <c r="C7" s="74" t="s">
        <v>51</v>
      </c>
      <c r="D7" s="71" t="s">
        <v>51</v>
      </c>
      <c r="E7" s="71"/>
    </row>
    <row r="8" spans="1:20" ht="19.5">
      <c r="A8" s="71"/>
      <c r="B8" s="43" t="str">
        <f ca="1">B3</f>
        <v>16 1. KPK Vrchlabí - Mašek Pavel</v>
      </c>
      <c r="C8" s="75">
        <f>IF(('Hra 2P'!E98=""),"",'Hra 2P'!E98)</f>
        <v>13</v>
      </c>
      <c r="D8" s="75">
        <f>IF(('Hra 2P'!F98=""),"",'Hra 2P'!F98)</f>
        <v>0</v>
      </c>
      <c r="E8" s="43" t="str">
        <f ca="1">B6</f>
        <v>57 Orel Řečkovice - Leistnerová Lucie</v>
      </c>
    </row>
    <row r="9" spans="1:20" ht="19.5">
      <c r="A9" s="71"/>
      <c r="B9" s="43" t="str">
        <f ca="1">B4</f>
        <v>21 Sokol Kostomlaty - Vaníček Rudolf</v>
      </c>
      <c r="C9" s="75">
        <f>IF(('Hra 2P'!E99=""),"",'Hra 2P'!E99)</f>
        <v>11</v>
      </c>
      <c r="D9" s="75">
        <f>IF(('Hra 2P'!F99=""),"",'Hra 2P'!F99)</f>
        <v>13</v>
      </c>
      <c r="E9" s="43" t="str">
        <f ca="1">B5</f>
        <v>52 CdP Loděnice - Janoš Jiří</v>
      </c>
    </row>
    <row r="10" spans="1:20" ht="19.5">
      <c r="A10" s="76" t="s">
        <v>46</v>
      </c>
      <c r="B10" s="43" t="str">
        <f ca="1">IF(TRIM(E8)="-",B8,IF(AND(C8="",D8="")," ",IF(N(C8)&gt;N(D8),B8,E8)))</f>
        <v>16 1. KPK Vrchlabí - Mašek Pavel</v>
      </c>
      <c r="C10" s="75">
        <f>IF(('Hra 2P'!E100=""),"",'Hra 2P'!E100)</f>
        <v>13</v>
      </c>
      <c r="D10" s="75">
        <f>IF(('Hra 2P'!F100=""),"",'Hra 2P'!F100)</f>
        <v>1</v>
      </c>
      <c r="E10" s="43" t="str">
        <f ca="1">IF(AND(C9="",D9="")," ",IF(N(C9)&gt;N(D9),B9,E9))</f>
        <v>52 CdP Loděnice - Janoš Jiří</v>
      </c>
    </row>
    <row r="11" spans="1:20" ht="19.5">
      <c r="A11" s="76" t="s">
        <v>47</v>
      </c>
      <c r="B11" s="43" t="str">
        <f ca="1">IF(TRIM(E8)="-",E8,IF(AND(C8="",D8="")," ",IF(N(C8)&gt;N(D8),E8,B8)))</f>
        <v>57 Orel Řečkovice - Leistnerová Lucie</v>
      </c>
      <c r="C11" s="75">
        <f>IF(('Hra 2P'!E101=""),"",'Hra 2P'!E101)</f>
        <v>13</v>
      </c>
      <c r="D11" s="75">
        <f>IF(('Hra 2P'!F101=""),"",'Hra 2P'!F101)</f>
        <v>10</v>
      </c>
      <c r="E11" s="43" t="str">
        <f ca="1">IF(TRIM(E9)="",E9,IF(AND(C9="",D9="")," ",IF(N(C9)&gt;N(D9),E9,B9)))</f>
        <v>21 Sokol Kostomlaty - Vaníček Rudolf</v>
      </c>
    </row>
    <row r="12" spans="1:20" ht="19.5">
      <c r="A12" s="76" t="s">
        <v>48</v>
      </c>
      <c r="B12" s="43" t="str">
        <f ca="1">IF(TRIM(E10)="",E10,IF(AND(C10="",D10="")," ",IF(N(C10)&gt;N(D10),E10,B10)))</f>
        <v>52 CdP Loděnice - Janoš Jiří</v>
      </c>
      <c r="C12" s="75">
        <f>IF(('Hra 2P'!E102=""),"",'Hra 2P'!E102)</f>
        <v>13</v>
      </c>
      <c r="D12" s="75">
        <f>IF(('Hra 2P'!F102=""),"",'Hra 2P'!F102)</f>
        <v>4</v>
      </c>
      <c r="E12" s="43" t="str">
        <f ca="1">IF(AND(TRIM(B11)="",TRIM(E8)=""),E11,IF(AND(C11="",D11="")," ",IF(N(C11)&gt;N(D11),B11,E11)))</f>
        <v>57 Orel Řečkovice - Leistnerová Lucie</v>
      </c>
    </row>
    <row r="13" spans="1:20" ht="37.15" customHeight="1">
      <c r="A13" s="71"/>
      <c r="B13" s="77" t="s">
        <v>52</v>
      </c>
      <c r="C13" s="78" t="s">
        <v>116</v>
      </c>
      <c r="D13" s="71"/>
      <c r="E13" s="71"/>
    </row>
    <row r="14" spans="1:20" ht="19.5">
      <c r="A14" s="71" t="s">
        <v>31</v>
      </c>
      <c r="B14" s="43" t="str">
        <f ca="1">IF(N(C10)+N(D10)&gt;0,IF(N(C10)&gt;N(D10),B10,E10),"")</f>
        <v>16 1. KPK Vrchlabí - Mašek Pavel</v>
      </c>
      <c r="C14" s="74" t="str">
        <f>CONCATENATE($C$1,A3)</f>
        <v>P1</v>
      </c>
      <c r="D14" s="71"/>
      <c r="E14" s="71"/>
    </row>
    <row r="15" spans="1:20" ht="19.5">
      <c r="A15" s="71" t="s">
        <v>32</v>
      </c>
      <c r="B15" s="43" t="str">
        <f ca="1">IF(N(C12)+N(D12)&gt;0,IF(N(C12)&gt;N(D12),B12,E12),"")</f>
        <v>52 CdP Loděnice - Janoš Jiří</v>
      </c>
      <c r="C15" s="74" t="str">
        <f>CONCATENATE($C$1,A4)</f>
        <v>P2</v>
      </c>
      <c r="D15" s="71"/>
      <c r="E15" s="71"/>
    </row>
    <row r="16" spans="1:20" ht="19.5">
      <c r="A16" s="71" t="s">
        <v>33</v>
      </c>
      <c r="B16" s="43" t="str">
        <f ca="1">IF(N(C12)+N(D12)&gt;0,IF(N(C12)&gt;N(D12),E12,B12),"")</f>
        <v>57 Orel Řečkovice - Leistnerová Lucie</v>
      </c>
      <c r="C16" s="74" t="str">
        <f>CONCATENATE($C$1,A5)</f>
        <v>P3</v>
      </c>
      <c r="D16" s="71"/>
      <c r="E16" s="71"/>
    </row>
    <row r="17" spans="1:5" ht="19.5">
      <c r="A17" s="71" t="s">
        <v>34</v>
      </c>
      <c r="B17" s="79" t="str">
        <f ca="1">IF(N(C11)+N(D11)&gt;0,IF(N(C11)&gt;N(D11),E11,B11),"")</f>
        <v>21 Sokol Kostomlaty - Vaníček Rudolf</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4</v>
      </c>
      <c r="R1">
        <f ca="1">INDIRECT(ADDRESS(4,A1,1,1,"Hřiště"))</f>
        <v>24</v>
      </c>
      <c r="S1">
        <f ca="1">INDIRECT(ADDRESS(5,A1,1,1,"Hřiště"))</f>
        <v>25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17 PC Sokol Lipník - Gorroňo López Blanka</v>
      </c>
      <c r="C3" s="71"/>
      <c r="D3" s="71"/>
      <c r="E3" s="71"/>
    </row>
    <row r="4" spans="1:20" ht="19.5">
      <c r="A4" s="71">
        <v>2</v>
      </c>
      <c r="B4" s="43" t="str">
        <f ca="1">IF(TYPE(VLOOKUP(CONCATENATE($C$1,A4),Skupiny!$A$3:$B$130,2,0))&gt;4," - ",VLOOKUP(CONCATENATE($C$1,A4),Skupiny!$A$3:$B$130,2,0))</f>
        <v>20 Club Rodamiento - Dlouhá Ivana</v>
      </c>
      <c r="C4" s="71"/>
      <c r="D4" s="71"/>
      <c r="E4" s="71"/>
    </row>
    <row r="5" spans="1:20" ht="19.5">
      <c r="A5" s="71">
        <v>3</v>
      </c>
      <c r="B5" s="43" t="str">
        <f ca="1">IF(TYPE(VLOOKUP(CONCATENATE($C$1,A5),Skupiny!$A$3:$B$130,2,0))&gt;4," - ",VLOOKUP(CONCATENATE($C$1,A5),Skupiny!$A$3:$B$130,2,0))</f>
        <v>53 CP VARY - Šimek Petr</v>
      </c>
      <c r="C5" s="71"/>
      <c r="D5" s="71"/>
      <c r="E5" s="71"/>
    </row>
    <row r="6" spans="1:20" ht="19.5">
      <c r="A6" s="71">
        <v>4</v>
      </c>
      <c r="B6" s="43" t="str">
        <f ca="1">IF(TYPE(VLOOKUP(CONCATENATE($C$1,A6),Skupiny!$A$3:$B$130,2,0))&gt;4," - ",VLOOKUP(CONCATENATE($C$1,A6),Skupiny!$A$3:$B$130,2,0))</f>
        <v>56 SK Španielka Řepy - Szitányiová Mária</v>
      </c>
      <c r="C6" s="71"/>
      <c r="D6" s="71"/>
      <c r="E6" s="71"/>
    </row>
    <row r="7" spans="1:20" ht="36.6" customHeight="1">
      <c r="A7" s="71"/>
      <c r="B7" s="71" t="s">
        <v>50</v>
      </c>
      <c r="C7" s="74" t="s">
        <v>51</v>
      </c>
      <c r="D7" s="71" t="s">
        <v>51</v>
      </c>
      <c r="E7" s="71"/>
    </row>
    <row r="8" spans="1:20" ht="19.5">
      <c r="A8" s="71"/>
      <c r="B8" s="43" t="str">
        <f ca="1">B3</f>
        <v>17 PC Sokol Lipník - Gorroňo López Blanka</v>
      </c>
      <c r="C8" s="75">
        <f>IF(('Hra 2P'!E104=""),"",'Hra 2P'!E104)</f>
        <v>13</v>
      </c>
      <c r="D8" s="75">
        <f>IF(('Hra 2P'!F104=""),"",'Hra 2P'!F104)</f>
        <v>9</v>
      </c>
      <c r="E8" s="43" t="str">
        <f ca="1">B6</f>
        <v>56 SK Španielka Řepy - Szitányiová Mária</v>
      </c>
    </row>
    <row r="9" spans="1:20" ht="19.5">
      <c r="A9" s="71"/>
      <c r="B9" s="43" t="str">
        <f ca="1">B4</f>
        <v>20 Club Rodamiento - Dlouhá Ivana</v>
      </c>
      <c r="C9" s="75">
        <f>IF(('Hra 2P'!E105=""),"",'Hra 2P'!E105)</f>
        <v>13</v>
      </c>
      <c r="D9" s="75">
        <f>IF(('Hra 2P'!F105=""),"",'Hra 2P'!F105)</f>
        <v>7</v>
      </c>
      <c r="E9" s="43" t="str">
        <f ca="1">B5</f>
        <v>53 CP VARY - Šimek Petr</v>
      </c>
    </row>
    <row r="10" spans="1:20" ht="19.5">
      <c r="A10" s="76" t="s">
        <v>46</v>
      </c>
      <c r="B10" s="43" t="str">
        <f ca="1">IF(TRIM(E8)="-",B8,IF(AND(C8="",D8="")," ",IF(N(C8)&gt;N(D8),B8,E8)))</f>
        <v>17 PC Sokol Lipník - Gorroňo López Blanka</v>
      </c>
      <c r="C10" s="75">
        <f>IF(('Hra 2P'!E106=""),"",'Hra 2P'!E106)</f>
        <v>6</v>
      </c>
      <c r="D10" s="75">
        <f>IF(('Hra 2P'!F106=""),"",'Hra 2P'!F106)</f>
        <v>13</v>
      </c>
      <c r="E10" s="43" t="str">
        <f ca="1">IF(AND(C9="",D9="")," ",IF(N(C9)&gt;N(D9),B9,E9))</f>
        <v>20 Club Rodamiento - Dlouhá Ivana</v>
      </c>
    </row>
    <row r="11" spans="1:20" ht="19.5">
      <c r="A11" s="76" t="s">
        <v>47</v>
      </c>
      <c r="B11" s="43" t="str">
        <f ca="1">IF(TRIM(E8)="-",E8,IF(AND(C8="",D8="")," ",IF(N(C8)&gt;N(D8),E8,B8)))</f>
        <v>56 SK Španielka Řepy - Szitányiová Mária</v>
      </c>
      <c r="C11" s="75">
        <f>IF(('Hra 2P'!E107=""),"",'Hra 2P'!E107)</f>
        <v>8</v>
      </c>
      <c r="D11" s="75">
        <f>IF(('Hra 2P'!F107=""),"",'Hra 2P'!F107)</f>
        <v>13</v>
      </c>
      <c r="E11" s="43" t="str">
        <f ca="1">IF(TRIM(E9)="",E9,IF(AND(C9="",D9="")," ",IF(N(C9)&gt;N(D9),E9,B9)))</f>
        <v>53 CP VARY - Šimek Petr</v>
      </c>
    </row>
    <row r="12" spans="1:20" ht="19.5">
      <c r="A12" s="76" t="s">
        <v>48</v>
      </c>
      <c r="B12" s="43" t="str">
        <f ca="1">IF(TRIM(E10)="",E10,IF(AND(C10="",D10="")," ",IF(N(C10)&gt;N(D10),E10,B10)))</f>
        <v>17 PC Sokol Lipník - Gorroňo López Blanka</v>
      </c>
      <c r="C12" s="75">
        <f>IF(('Hra 2P'!E108=""),"",'Hra 2P'!E108)</f>
        <v>9</v>
      </c>
      <c r="D12" s="75">
        <f>IF(('Hra 2P'!F108=""),"",'Hra 2P'!F108)</f>
        <v>13</v>
      </c>
      <c r="E12" s="43" t="str">
        <f ca="1">IF(AND(TRIM(B11)="",TRIM(E8)=""),E11,IF(AND(C11="",D11="")," ",IF(N(C11)&gt;N(D11),B11,E11)))</f>
        <v>53 CP VARY - Šimek Petr</v>
      </c>
    </row>
    <row r="13" spans="1:20" ht="37.15" customHeight="1">
      <c r="A13" s="71"/>
      <c r="B13" s="77" t="s">
        <v>52</v>
      </c>
      <c r="C13" s="78" t="s">
        <v>116</v>
      </c>
      <c r="D13" s="71"/>
      <c r="E13" s="71"/>
    </row>
    <row r="14" spans="1:20" ht="19.5">
      <c r="A14" s="71" t="s">
        <v>31</v>
      </c>
      <c r="B14" s="43" t="str">
        <f ca="1">IF(N(C10)+N(D10)&gt;0,IF(N(C10)&gt;N(D10),B10,E10),"")</f>
        <v>20 Club Rodamiento - Dlouhá Ivana</v>
      </c>
      <c r="C14" s="74" t="str">
        <f>CONCATENATE($C$1,A3)</f>
        <v>Q1</v>
      </c>
      <c r="D14" s="71"/>
      <c r="E14" s="71"/>
    </row>
    <row r="15" spans="1:20" ht="19.5">
      <c r="A15" s="71" t="s">
        <v>32</v>
      </c>
      <c r="B15" s="43" t="str">
        <f ca="1">IF(N(C12)+N(D12)&gt;0,IF(N(C12)&gt;N(D12),B12,E12),"")</f>
        <v>53 CP VARY - Šimek Petr</v>
      </c>
      <c r="C15" s="74" t="str">
        <f>CONCATENATE($C$1,A4)</f>
        <v>Q2</v>
      </c>
      <c r="D15" s="71"/>
      <c r="E15" s="71"/>
    </row>
    <row r="16" spans="1:20" ht="19.5">
      <c r="A16" s="71" t="s">
        <v>33</v>
      </c>
      <c r="B16" s="43" t="str">
        <f ca="1">IF(N(C12)+N(D12)&gt;0,IF(N(C12)&gt;N(D12),E12,B12),"")</f>
        <v>17 PC Sokol Lipník - Gorroňo López Blanka</v>
      </c>
      <c r="C16" s="74" t="str">
        <f>CONCATENATE($C$1,A5)</f>
        <v>Q3</v>
      </c>
      <c r="D16" s="71"/>
      <c r="E16" s="71"/>
    </row>
    <row r="17" spans="1:5" ht="19.5">
      <c r="A17" s="71" t="s">
        <v>34</v>
      </c>
      <c r="B17" s="79" t="str">
        <f ca="1">IF(N(C11)+N(D11)&gt;0,IF(N(C11)&gt;N(D11),E11,B11),"")</f>
        <v>56 SK Španielka Řepy - Szitányiová Mária</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26</v>
      </c>
      <c r="S1">
        <f ca="1">INDIRECT(ADDRESS(5,A1,1,1,"Hřiště"))</f>
        <v>27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PCP Lipník - Proroková Dana</v>
      </c>
      <c r="C3" s="71"/>
      <c r="D3" s="71"/>
      <c r="E3" s="71"/>
    </row>
    <row r="4" spans="1:20" ht="19.5">
      <c r="A4" s="71">
        <v>2</v>
      </c>
      <c r="B4" s="43" t="str">
        <f ca="1">IF(TYPE(VLOOKUP(CONCATENATE($C$1,A4),Skupiny!$A$3:$B$130,2,0))&gt;4," - ",VLOOKUP(CONCATENATE($C$1,A4),Skupiny!$A$3:$B$130,2,0))</f>
        <v>19 PC Sokol Lipník - Chalupa Jiří</v>
      </c>
      <c r="C4" s="71"/>
      <c r="D4" s="71"/>
      <c r="E4" s="71"/>
    </row>
    <row r="5" spans="1:20" ht="19.5">
      <c r="A5" s="71">
        <v>3</v>
      </c>
      <c r="B5" s="43" t="str">
        <f ca="1">IF(TYPE(VLOOKUP(CONCATENATE($C$1,A5),Skupiny!$A$3:$B$130,2,0))&gt;4," - ",VLOOKUP(CONCATENATE($C$1,A5),Skupiny!$A$3:$B$130,2,0))</f>
        <v>54 PCP Lipník - Doubrava Antonín</v>
      </c>
      <c r="C5" s="71"/>
      <c r="D5" s="71"/>
      <c r="E5" s="71"/>
    </row>
    <row r="6" spans="1:20" ht="19.5">
      <c r="A6" s="71">
        <v>4</v>
      </c>
      <c r="B6" s="43" t="str">
        <f ca="1">IF(TYPE(VLOOKUP(CONCATENATE($C$1,A6),Skupiny!$A$3:$B$130,2,0))&gt;4," - ",VLOOKUP(CONCATENATE($C$1,A6),Skupiny!$A$3:$B$130,2,0))</f>
        <v>55 PCP Lipník - Moucha Luboš</v>
      </c>
      <c r="C6" s="71"/>
      <c r="D6" s="71"/>
      <c r="E6" s="71"/>
    </row>
    <row r="7" spans="1:20" ht="36.6" customHeight="1">
      <c r="A7" s="71"/>
      <c r="B7" s="71" t="s">
        <v>50</v>
      </c>
      <c r="C7" s="74" t="s">
        <v>51</v>
      </c>
      <c r="D7" s="71" t="s">
        <v>51</v>
      </c>
      <c r="E7" s="71"/>
    </row>
    <row r="8" spans="1:20" ht="19.5">
      <c r="A8" s="71"/>
      <c r="B8" s="43" t="str">
        <f ca="1">B3</f>
        <v>18 PCP Lipník - Proroková Dana</v>
      </c>
      <c r="C8" s="75">
        <f>IF(('Hra 2P'!E110=""),"",'Hra 2P'!E110)</f>
        <v>4</v>
      </c>
      <c r="D8" s="75">
        <f>IF(('Hra 2P'!F110=""),"",'Hra 2P'!F110)</f>
        <v>13</v>
      </c>
      <c r="E8" s="43" t="str">
        <f ca="1">B6</f>
        <v>55 PCP Lipník - Moucha Luboš</v>
      </c>
    </row>
    <row r="9" spans="1:20" ht="19.5">
      <c r="A9" s="71"/>
      <c r="B9" s="43" t="str">
        <f ca="1">B4</f>
        <v>19 PC Sokol Lipník - Chalupa Jiří</v>
      </c>
      <c r="C9" s="75">
        <f>IF(('Hra 2P'!E111=""),"",'Hra 2P'!E111)</f>
        <v>5</v>
      </c>
      <c r="D9" s="75">
        <f>IF(('Hra 2P'!F111=""),"",'Hra 2P'!F111)</f>
        <v>13</v>
      </c>
      <c r="E9" s="43" t="str">
        <f ca="1">B5</f>
        <v>54 PCP Lipník - Doubrava Antonín</v>
      </c>
    </row>
    <row r="10" spans="1:20" ht="19.5">
      <c r="A10" s="76" t="s">
        <v>46</v>
      </c>
      <c r="B10" s="43" t="str">
        <f ca="1">IF(TRIM(E8)="-",B8,IF(AND(C8="",D8="")," ",IF(N(C8)&gt;N(D8),B8,E8)))</f>
        <v>55 PCP Lipník - Moucha Luboš</v>
      </c>
      <c r="C10" s="75">
        <f>IF(('Hra 2P'!E112=""),"",'Hra 2P'!E112)</f>
        <v>7</v>
      </c>
      <c r="D10" s="75">
        <f>IF(('Hra 2P'!F112=""),"",'Hra 2P'!F112)</f>
        <v>13</v>
      </c>
      <c r="E10" s="43" t="str">
        <f ca="1">IF(AND(C9="",D9="")," ",IF(N(C9)&gt;N(D9),B9,E9))</f>
        <v>54 PCP Lipník - Doubrava Antonín</v>
      </c>
    </row>
    <row r="11" spans="1:20" ht="19.5">
      <c r="A11" s="76" t="s">
        <v>47</v>
      </c>
      <c r="B11" s="43" t="str">
        <f ca="1">IF(TRIM(E8)="-",E8,IF(AND(C8="",D8="")," ",IF(N(C8)&gt;N(D8),E8,B8)))</f>
        <v>18 PCP Lipník - Proroková Dana</v>
      </c>
      <c r="C11" s="75">
        <f>IF(('Hra 2P'!E113=""),"",'Hra 2P'!E113)</f>
        <v>6</v>
      </c>
      <c r="D11" s="75">
        <f>IF(('Hra 2P'!F113=""),"",'Hra 2P'!F113)</f>
        <v>13</v>
      </c>
      <c r="E11" s="43" t="str">
        <f ca="1">IF(TRIM(E9)="",E9,IF(AND(C9="",D9="")," ",IF(N(C9)&gt;N(D9),E9,B9)))</f>
        <v>19 PC Sokol Lipník - Chalupa Jiří</v>
      </c>
    </row>
    <row r="12" spans="1:20" ht="19.5">
      <c r="A12" s="76" t="s">
        <v>48</v>
      </c>
      <c r="B12" s="43" t="str">
        <f ca="1">IF(TRIM(E10)="",E10,IF(AND(C10="",D10="")," ",IF(N(C10)&gt;N(D10),E10,B10)))</f>
        <v>55 PCP Lipník - Moucha Luboš</v>
      </c>
      <c r="C12" s="75">
        <f>IF(('Hra 2P'!E114=""),"",'Hra 2P'!E114)</f>
        <v>13</v>
      </c>
      <c r="D12" s="75">
        <f>IF(('Hra 2P'!F114=""),"",'Hra 2P'!F114)</f>
        <v>10</v>
      </c>
      <c r="E12" s="43" t="str">
        <f ca="1">IF(AND(TRIM(B11)="",TRIM(E8)=""),E11,IF(AND(C11="",D11="")," ",IF(N(C11)&gt;N(D11),B11,E11)))</f>
        <v>19 PC Sokol Lipník - Chalupa Jiří</v>
      </c>
    </row>
    <row r="13" spans="1:20" ht="37.15" customHeight="1">
      <c r="A13" s="71"/>
      <c r="B13" s="77" t="s">
        <v>52</v>
      </c>
      <c r="C13" s="78" t="s">
        <v>116</v>
      </c>
      <c r="D13" s="71"/>
      <c r="E13" s="71"/>
    </row>
    <row r="14" spans="1:20" ht="19.5">
      <c r="A14" s="71" t="s">
        <v>31</v>
      </c>
      <c r="B14" s="43" t="str">
        <f ca="1">IF(N(C10)+N(D10)&gt;0,IF(N(C10)&gt;N(D10),B10,E10),"")</f>
        <v>54 PCP Lipník - Doubrava Antonín</v>
      </c>
      <c r="C14" s="74" t="str">
        <f>CONCATENATE($C$1,A3)</f>
        <v>R1</v>
      </c>
      <c r="D14" s="71"/>
      <c r="E14" s="71"/>
    </row>
    <row r="15" spans="1:20" ht="19.5">
      <c r="A15" s="71" t="s">
        <v>32</v>
      </c>
      <c r="B15" s="43" t="str">
        <f ca="1">IF(N(C12)+N(D12)&gt;0,IF(N(C12)&gt;N(D12),B12,E12),"")</f>
        <v>55 PCP Lipník - Moucha Luboš</v>
      </c>
      <c r="C15" s="74" t="str">
        <f>CONCATENATE($C$1,A4)</f>
        <v>R2</v>
      </c>
      <c r="D15" s="71"/>
      <c r="E15" s="71"/>
    </row>
    <row r="16" spans="1:20" ht="19.5">
      <c r="A16" s="71" t="s">
        <v>33</v>
      </c>
      <c r="B16" s="43" t="str">
        <f ca="1">IF(N(C12)+N(D12)&gt;0,IF(N(C12)&gt;N(D12),E12,B12),"")</f>
        <v>19 PC Sokol Lipník - Chalupa Jiří</v>
      </c>
      <c r="C16" s="74" t="str">
        <f>CONCATENATE($C$1,A5)</f>
        <v>R3</v>
      </c>
      <c r="D16" s="71"/>
      <c r="E16" s="71"/>
    </row>
    <row r="17" spans="1:5" ht="19.5">
      <c r="A17" s="71" t="s">
        <v>34</v>
      </c>
      <c r="B17" s="79" t="str">
        <f ca="1">IF(N(C11)+N(D11)&gt;0,IF(N(C11)&gt;N(D11),E11,B11),"")</f>
        <v>18 PCP Lipník - Proroková Dana</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6"/>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42834</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24317</v>
      </c>
      <c r="B5" t="s">
        <v>530</v>
      </c>
      <c r="C5" t="s">
        <v>532</v>
      </c>
      <c r="E5" t="s">
        <v>216</v>
      </c>
      <c r="F5">
        <v>33</v>
      </c>
      <c r="G5">
        <v>1954</v>
      </c>
      <c r="H5">
        <v>130</v>
      </c>
      <c r="I5">
        <v>29</v>
      </c>
      <c r="J5">
        <v>1641.9680000000001</v>
      </c>
      <c r="K5">
        <v>468</v>
      </c>
    </row>
    <row r="6" spans="1:11">
      <c r="A6">
        <v>17019</v>
      </c>
      <c r="B6" t="s">
        <v>1384</v>
      </c>
      <c r="C6" t="s">
        <v>572</v>
      </c>
      <c r="E6" t="s">
        <v>161</v>
      </c>
      <c r="F6">
        <v>30</v>
      </c>
      <c r="G6">
        <v>1974</v>
      </c>
      <c r="H6">
        <v>633</v>
      </c>
      <c r="I6">
        <v>1.1879999999999999</v>
      </c>
      <c r="J6">
        <v>43.884999999999998</v>
      </c>
      <c r="K6">
        <v>0</v>
      </c>
    </row>
    <row r="7" spans="1:11">
      <c r="A7">
        <v>14091</v>
      </c>
      <c r="B7" t="s">
        <v>1385</v>
      </c>
      <c r="C7" t="s">
        <v>543</v>
      </c>
      <c r="E7" t="s">
        <v>1343</v>
      </c>
      <c r="F7">
        <v>79</v>
      </c>
      <c r="G7">
        <v>1987</v>
      </c>
      <c r="H7">
        <v>555</v>
      </c>
      <c r="I7">
        <v>0.90600000000000003</v>
      </c>
      <c r="J7">
        <v>99.366</v>
      </c>
      <c r="K7">
        <v>56</v>
      </c>
    </row>
    <row r="8" spans="1:11">
      <c r="A8">
        <v>15030</v>
      </c>
      <c r="B8" t="s">
        <v>1385</v>
      </c>
      <c r="C8" t="s">
        <v>535</v>
      </c>
      <c r="D8" t="s">
        <v>91</v>
      </c>
      <c r="E8" t="s">
        <v>1343</v>
      </c>
      <c r="F8">
        <v>79</v>
      </c>
      <c r="G8">
        <v>2001</v>
      </c>
      <c r="H8">
        <v>596</v>
      </c>
      <c r="I8">
        <v>1.8129999999999999</v>
      </c>
      <c r="J8">
        <v>70.682000000000002</v>
      </c>
      <c r="K8">
        <v>0</v>
      </c>
    </row>
    <row r="9" spans="1:11">
      <c r="A9">
        <v>17046</v>
      </c>
      <c r="B9" t="s">
        <v>1386</v>
      </c>
      <c r="C9" t="s">
        <v>564</v>
      </c>
      <c r="E9" t="s">
        <v>1200</v>
      </c>
      <c r="F9">
        <v>70</v>
      </c>
      <c r="G9">
        <v>1952</v>
      </c>
      <c r="H9">
        <v>695</v>
      </c>
      <c r="I9">
        <v>0</v>
      </c>
      <c r="J9">
        <v>0</v>
      </c>
      <c r="K9">
        <v>0</v>
      </c>
    </row>
    <row r="10" spans="1:11">
      <c r="A10">
        <v>24250</v>
      </c>
      <c r="B10" t="s">
        <v>533</v>
      </c>
      <c r="C10" t="s">
        <v>534</v>
      </c>
      <c r="E10" t="s">
        <v>1195</v>
      </c>
      <c r="F10">
        <v>44</v>
      </c>
      <c r="G10">
        <v>1963</v>
      </c>
      <c r="H10">
        <v>696</v>
      </c>
      <c r="I10">
        <v>0</v>
      </c>
      <c r="J10">
        <v>0</v>
      </c>
      <c r="K10">
        <v>0</v>
      </c>
    </row>
    <row r="11" spans="1:11">
      <c r="A11">
        <v>23036</v>
      </c>
      <c r="B11" t="s">
        <v>536</v>
      </c>
      <c r="C11" t="s">
        <v>537</v>
      </c>
      <c r="D11" t="s">
        <v>107</v>
      </c>
      <c r="E11" t="s">
        <v>1195</v>
      </c>
      <c r="F11">
        <v>44</v>
      </c>
      <c r="G11">
        <v>1969</v>
      </c>
      <c r="H11">
        <v>697</v>
      </c>
      <c r="I11">
        <v>0</v>
      </c>
      <c r="J11">
        <v>0</v>
      </c>
      <c r="K11">
        <v>0</v>
      </c>
    </row>
    <row r="12" spans="1:11">
      <c r="A12">
        <v>12050</v>
      </c>
      <c r="B12" t="s">
        <v>538</v>
      </c>
      <c r="C12" t="s">
        <v>539</v>
      </c>
      <c r="D12" t="s">
        <v>107</v>
      </c>
      <c r="E12" t="s">
        <v>495</v>
      </c>
      <c r="F12">
        <v>64</v>
      </c>
      <c r="G12">
        <v>1957</v>
      </c>
      <c r="H12">
        <v>698</v>
      </c>
      <c r="I12">
        <v>0</v>
      </c>
      <c r="J12">
        <v>0</v>
      </c>
      <c r="K12">
        <v>0</v>
      </c>
    </row>
    <row r="13" spans="1:11">
      <c r="A13">
        <v>10136</v>
      </c>
      <c r="B13" t="s">
        <v>540</v>
      </c>
      <c r="C13" t="s">
        <v>541</v>
      </c>
      <c r="E13" t="s">
        <v>1196</v>
      </c>
      <c r="F13">
        <v>61</v>
      </c>
      <c r="G13">
        <v>1978</v>
      </c>
      <c r="H13">
        <v>394</v>
      </c>
      <c r="I13">
        <v>4.9379999999999997</v>
      </c>
      <c r="J13">
        <v>317.95299999999997</v>
      </c>
      <c r="K13">
        <v>133</v>
      </c>
    </row>
    <row r="14" spans="1:11">
      <c r="A14">
        <v>16014</v>
      </c>
      <c r="B14" t="s">
        <v>542</v>
      </c>
      <c r="C14" t="s">
        <v>534</v>
      </c>
      <c r="E14" t="s">
        <v>172</v>
      </c>
      <c r="F14">
        <v>48</v>
      </c>
      <c r="G14">
        <v>1950</v>
      </c>
      <c r="H14">
        <v>540</v>
      </c>
      <c r="I14">
        <v>2.2189999999999999</v>
      </c>
      <c r="J14">
        <v>111.92400000000001</v>
      </c>
      <c r="K14">
        <v>29</v>
      </c>
    </row>
    <row r="15" spans="1:11">
      <c r="A15">
        <v>96209</v>
      </c>
      <c r="B15" t="s">
        <v>542</v>
      </c>
      <c r="C15" t="s">
        <v>543</v>
      </c>
      <c r="E15" t="s">
        <v>501</v>
      </c>
      <c r="F15">
        <v>1</v>
      </c>
      <c r="G15">
        <v>1962</v>
      </c>
      <c r="H15">
        <v>576</v>
      </c>
      <c r="I15">
        <v>2.0630000000000002</v>
      </c>
      <c r="J15">
        <v>83.061999999999998</v>
      </c>
      <c r="K15">
        <v>0</v>
      </c>
    </row>
    <row r="16" spans="1:11">
      <c r="A16">
        <v>17026</v>
      </c>
      <c r="B16" t="s">
        <v>544</v>
      </c>
      <c r="C16" t="s">
        <v>777</v>
      </c>
      <c r="D16" t="s">
        <v>107</v>
      </c>
      <c r="E16" t="s">
        <v>172</v>
      </c>
      <c r="F16">
        <v>48</v>
      </c>
      <c r="G16">
        <v>1949</v>
      </c>
      <c r="H16">
        <v>670</v>
      </c>
      <c r="I16">
        <v>0.875</v>
      </c>
      <c r="J16">
        <v>22.192</v>
      </c>
      <c r="K16">
        <v>0</v>
      </c>
    </row>
    <row r="17" spans="1:11">
      <c r="A17">
        <v>23051</v>
      </c>
      <c r="B17" t="s">
        <v>544</v>
      </c>
      <c r="C17" t="s">
        <v>545</v>
      </c>
      <c r="D17" t="s">
        <v>107</v>
      </c>
      <c r="E17" t="s">
        <v>501</v>
      </c>
      <c r="F17">
        <v>1</v>
      </c>
      <c r="G17">
        <v>1992</v>
      </c>
      <c r="H17">
        <v>699</v>
      </c>
      <c r="I17">
        <v>0</v>
      </c>
      <c r="J17">
        <v>0</v>
      </c>
      <c r="K17">
        <v>0</v>
      </c>
    </row>
    <row r="18" spans="1:11">
      <c r="A18">
        <v>96210</v>
      </c>
      <c r="B18" t="s">
        <v>544</v>
      </c>
      <c r="C18" t="s">
        <v>546</v>
      </c>
      <c r="D18" t="s">
        <v>107</v>
      </c>
      <c r="E18" t="s">
        <v>501</v>
      </c>
      <c r="F18">
        <v>1</v>
      </c>
      <c r="G18">
        <v>1962</v>
      </c>
      <c r="H18">
        <v>605</v>
      </c>
      <c r="I18">
        <v>1.5629999999999999</v>
      </c>
      <c r="J18">
        <v>64.635999999999996</v>
      </c>
      <c r="K18">
        <v>0</v>
      </c>
    </row>
    <row r="19" spans="1:11">
      <c r="A19">
        <v>17023</v>
      </c>
      <c r="B19" t="s">
        <v>1387</v>
      </c>
      <c r="C19" t="s">
        <v>564</v>
      </c>
      <c r="E19" t="s">
        <v>1388</v>
      </c>
      <c r="F19">
        <v>82</v>
      </c>
      <c r="G19">
        <v>1959</v>
      </c>
      <c r="H19">
        <v>599</v>
      </c>
      <c r="I19">
        <v>1.4379999999999999</v>
      </c>
      <c r="J19">
        <v>69.483000000000004</v>
      </c>
      <c r="K19">
        <v>0</v>
      </c>
    </row>
    <row r="20" spans="1:11">
      <c r="A20">
        <v>28003</v>
      </c>
      <c r="B20" t="s">
        <v>547</v>
      </c>
      <c r="C20" t="s">
        <v>534</v>
      </c>
      <c r="E20" t="s">
        <v>470</v>
      </c>
      <c r="F20">
        <v>20</v>
      </c>
      <c r="G20">
        <v>1951</v>
      </c>
      <c r="H20">
        <v>685</v>
      </c>
      <c r="I20">
        <v>0.34399999999999997</v>
      </c>
      <c r="J20">
        <v>16.082000000000001</v>
      </c>
      <c r="K20">
        <v>0</v>
      </c>
    </row>
    <row r="21" spans="1:11">
      <c r="A21">
        <v>21853</v>
      </c>
      <c r="B21" t="s">
        <v>548</v>
      </c>
      <c r="C21" t="s">
        <v>549</v>
      </c>
      <c r="E21" t="s">
        <v>550</v>
      </c>
      <c r="F21">
        <v>29</v>
      </c>
      <c r="G21">
        <v>1992</v>
      </c>
      <c r="H21">
        <v>700</v>
      </c>
      <c r="I21">
        <v>0</v>
      </c>
      <c r="J21">
        <v>0</v>
      </c>
      <c r="K21">
        <v>0</v>
      </c>
    </row>
    <row r="22" spans="1:11">
      <c r="A22">
        <v>13079</v>
      </c>
      <c r="B22" t="s">
        <v>548</v>
      </c>
      <c r="C22" t="s">
        <v>551</v>
      </c>
      <c r="E22" t="s">
        <v>497</v>
      </c>
      <c r="F22">
        <v>51</v>
      </c>
      <c r="G22">
        <v>1956</v>
      </c>
      <c r="H22">
        <v>346</v>
      </c>
      <c r="I22">
        <v>8.1280000000000001</v>
      </c>
      <c r="J22">
        <v>410.38099999999997</v>
      </c>
      <c r="K22">
        <v>76</v>
      </c>
    </row>
    <row r="23" spans="1:11">
      <c r="A23">
        <v>99527</v>
      </c>
      <c r="B23" t="s">
        <v>548</v>
      </c>
      <c r="C23" t="s">
        <v>551</v>
      </c>
      <c r="E23" t="s">
        <v>550</v>
      </c>
      <c r="F23">
        <v>29</v>
      </c>
      <c r="G23">
        <v>1961</v>
      </c>
      <c r="H23">
        <v>245</v>
      </c>
      <c r="I23">
        <v>15.172000000000001</v>
      </c>
      <c r="J23">
        <v>786.28200000000004</v>
      </c>
      <c r="K23">
        <v>166</v>
      </c>
    </row>
    <row r="24" spans="1:11">
      <c r="A24">
        <v>99528</v>
      </c>
      <c r="B24" t="s">
        <v>548</v>
      </c>
      <c r="C24" t="s">
        <v>552</v>
      </c>
      <c r="E24" t="s">
        <v>550</v>
      </c>
      <c r="F24">
        <v>29</v>
      </c>
      <c r="G24">
        <v>1967</v>
      </c>
      <c r="H24">
        <v>362</v>
      </c>
      <c r="I24">
        <v>7.22</v>
      </c>
      <c r="J24">
        <v>373.39499999999998</v>
      </c>
      <c r="K24">
        <v>99</v>
      </c>
    </row>
    <row r="25" spans="1:11">
      <c r="A25">
        <v>14010</v>
      </c>
      <c r="B25" t="s">
        <v>1389</v>
      </c>
      <c r="C25" t="s">
        <v>625</v>
      </c>
      <c r="D25" t="s">
        <v>107</v>
      </c>
      <c r="E25" t="s">
        <v>570</v>
      </c>
      <c r="F25">
        <v>16</v>
      </c>
      <c r="G25">
        <v>1975</v>
      </c>
      <c r="H25">
        <v>241</v>
      </c>
      <c r="I25">
        <v>11.406000000000001</v>
      </c>
      <c r="J25">
        <v>830.43700000000001</v>
      </c>
      <c r="K25">
        <v>349</v>
      </c>
    </row>
    <row r="26" spans="1:11">
      <c r="A26">
        <v>15042</v>
      </c>
      <c r="B26" t="s">
        <v>554</v>
      </c>
      <c r="C26" t="s">
        <v>537</v>
      </c>
      <c r="D26" t="s">
        <v>107</v>
      </c>
      <c r="E26" t="s">
        <v>497</v>
      </c>
      <c r="F26">
        <v>51</v>
      </c>
      <c r="G26">
        <v>1955</v>
      </c>
      <c r="H26">
        <v>329</v>
      </c>
      <c r="I26">
        <v>9.5340000000000007</v>
      </c>
      <c r="J26">
        <v>468.57600000000002</v>
      </c>
      <c r="K26">
        <v>76</v>
      </c>
    </row>
    <row r="27" spans="1:11">
      <c r="A27">
        <v>14008</v>
      </c>
      <c r="B27" t="s">
        <v>1390</v>
      </c>
      <c r="C27" t="s">
        <v>627</v>
      </c>
      <c r="E27" t="s">
        <v>161</v>
      </c>
      <c r="F27">
        <v>30</v>
      </c>
      <c r="G27">
        <v>1978</v>
      </c>
      <c r="H27">
        <v>143</v>
      </c>
      <c r="I27">
        <v>23.376000000000001</v>
      </c>
      <c r="J27">
        <v>1503.924</v>
      </c>
      <c r="K27">
        <v>527</v>
      </c>
    </row>
    <row r="28" spans="1:11">
      <c r="A28">
        <v>27012</v>
      </c>
      <c r="B28" t="s">
        <v>556</v>
      </c>
      <c r="C28" t="s">
        <v>543</v>
      </c>
      <c r="E28" t="s">
        <v>557</v>
      </c>
      <c r="F28">
        <v>59</v>
      </c>
      <c r="G28">
        <v>1984</v>
      </c>
      <c r="H28">
        <v>701</v>
      </c>
      <c r="I28">
        <v>0</v>
      </c>
      <c r="J28">
        <v>0</v>
      </c>
      <c r="K28">
        <v>0</v>
      </c>
    </row>
    <row r="29" spans="1:11">
      <c r="A29">
        <v>27002</v>
      </c>
      <c r="B29" t="s">
        <v>556</v>
      </c>
      <c r="C29" t="s">
        <v>558</v>
      </c>
      <c r="E29" t="s">
        <v>557</v>
      </c>
      <c r="F29">
        <v>59</v>
      </c>
      <c r="G29">
        <v>1986</v>
      </c>
      <c r="H29">
        <v>692</v>
      </c>
      <c r="I29">
        <v>0.188</v>
      </c>
      <c r="J29">
        <v>3.9359999999999999</v>
      </c>
      <c r="K29">
        <v>0</v>
      </c>
    </row>
    <row r="30" spans="1:11">
      <c r="A30">
        <v>27001</v>
      </c>
      <c r="B30" t="s">
        <v>556</v>
      </c>
      <c r="C30" t="s">
        <v>559</v>
      </c>
      <c r="E30" t="s">
        <v>557</v>
      </c>
      <c r="F30">
        <v>59</v>
      </c>
      <c r="G30">
        <v>1956</v>
      </c>
      <c r="H30">
        <v>522</v>
      </c>
      <c r="I30">
        <v>1.8440000000000001</v>
      </c>
      <c r="J30">
        <v>128.126</v>
      </c>
      <c r="K30">
        <v>61</v>
      </c>
    </row>
    <row r="31" spans="1:11">
      <c r="A31">
        <v>27009</v>
      </c>
      <c r="B31" t="s">
        <v>560</v>
      </c>
      <c r="C31" t="s">
        <v>561</v>
      </c>
      <c r="D31" t="s">
        <v>107</v>
      </c>
      <c r="E31" t="s">
        <v>557</v>
      </c>
      <c r="F31">
        <v>59</v>
      </c>
      <c r="G31">
        <v>1992</v>
      </c>
      <c r="H31">
        <v>525</v>
      </c>
      <c r="I31">
        <v>1.6559999999999999</v>
      </c>
      <c r="J31">
        <v>124.19</v>
      </c>
      <c r="K31">
        <v>61</v>
      </c>
    </row>
    <row r="32" spans="1:11">
      <c r="A32">
        <v>27081</v>
      </c>
      <c r="B32" t="s">
        <v>562</v>
      </c>
      <c r="C32" t="s">
        <v>563</v>
      </c>
      <c r="E32" t="s">
        <v>1197</v>
      </c>
      <c r="F32">
        <v>2</v>
      </c>
      <c r="G32">
        <v>1962</v>
      </c>
      <c r="H32">
        <v>681</v>
      </c>
      <c r="I32">
        <v>0.65600000000000003</v>
      </c>
      <c r="J32">
        <v>17.251999999999999</v>
      </c>
      <c r="K32">
        <v>0</v>
      </c>
    </row>
    <row r="33" spans="1:11">
      <c r="A33">
        <v>17060</v>
      </c>
      <c r="B33" t="s">
        <v>1391</v>
      </c>
      <c r="C33" t="s">
        <v>572</v>
      </c>
      <c r="D33" t="s">
        <v>91</v>
      </c>
      <c r="E33" t="s">
        <v>1388</v>
      </c>
      <c r="F33">
        <v>82</v>
      </c>
      <c r="G33">
        <v>2004</v>
      </c>
      <c r="H33">
        <v>579</v>
      </c>
      <c r="I33">
        <v>2.032</v>
      </c>
      <c r="J33">
        <v>79.516999999999996</v>
      </c>
      <c r="K33">
        <v>0</v>
      </c>
    </row>
    <row r="34" spans="1:11">
      <c r="A34">
        <v>15012</v>
      </c>
      <c r="B34" t="s">
        <v>1392</v>
      </c>
      <c r="C34" t="s">
        <v>535</v>
      </c>
      <c r="E34" t="s">
        <v>487</v>
      </c>
      <c r="F34">
        <v>69</v>
      </c>
      <c r="G34">
        <v>1947</v>
      </c>
      <c r="H34">
        <v>554</v>
      </c>
      <c r="I34">
        <v>2.0870000000000002</v>
      </c>
      <c r="J34">
        <v>99.396000000000001</v>
      </c>
      <c r="K34">
        <v>20</v>
      </c>
    </row>
    <row r="35" spans="1:11">
      <c r="A35">
        <v>13001</v>
      </c>
      <c r="B35" t="s">
        <v>1198</v>
      </c>
      <c r="C35" t="s">
        <v>1199</v>
      </c>
      <c r="D35" t="s">
        <v>107</v>
      </c>
      <c r="E35" t="s">
        <v>470</v>
      </c>
      <c r="F35">
        <v>20</v>
      </c>
      <c r="G35">
        <v>1970</v>
      </c>
      <c r="H35">
        <v>88</v>
      </c>
      <c r="I35">
        <v>25.937999999999999</v>
      </c>
      <c r="J35">
        <v>1977.5530000000001</v>
      </c>
      <c r="K35">
        <v>937</v>
      </c>
    </row>
    <row r="36" spans="1:11">
      <c r="A36">
        <v>10100</v>
      </c>
      <c r="B36" t="s">
        <v>565</v>
      </c>
      <c r="C36" t="s">
        <v>552</v>
      </c>
      <c r="E36" t="s">
        <v>1200</v>
      </c>
      <c r="F36">
        <v>70</v>
      </c>
      <c r="G36">
        <v>1940</v>
      </c>
      <c r="H36">
        <v>702</v>
      </c>
      <c r="I36">
        <v>0</v>
      </c>
      <c r="J36">
        <v>0</v>
      </c>
      <c r="K36">
        <v>0</v>
      </c>
    </row>
    <row r="37" spans="1:11">
      <c r="A37">
        <v>10101</v>
      </c>
      <c r="B37" t="s">
        <v>566</v>
      </c>
      <c r="C37" t="s">
        <v>567</v>
      </c>
      <c r="D37" t="s">
        <v>107</v>
      </c>
      <c r="E37" t="s">
        <v>1200</v>
      </c>
      <c r="F37">
        <v>70</v>
      </c>
      <c r="G37">
        <v>1938</v>
      </c>
      <c r="H37">
        <v>703</v>
      </c>
      <c r="I37">
        <v>0</v>
      </c>
      <c r="J37">
        <v>0</v>
      </c>
      <c r="K37">
        <v>0</v>
      </c>
    </row>
    <row r="38" spans="1:11">
      <c r="A38">
        <v>16049</v>
      </c>
      <c r="B38" t="s">
        <v>568</v>
      </c>
      <c r="C38" t="s">
        <v>534</v>
      </c>
      <c r="E38" t="s">
        <v>1393</v>
      </c>
      <c r="F38">
        <v>81</v>
      </c>
      <c r="G38">
        <v>1973</v>
      </c>
      <c r="H38">
        <v>181</v>
      </c>
      <c r="I38">
        <v>17.939</v>
      </c>
      <c r="J38">
        <v>1169.1769999999999</v>
      </c>
      <c r="K38">
        <v>415</v>
      </c>
    </row>
    <row r="39" spans="1:11">
      <c r="A39">
        <v>28050</v>
      </c>
      <c r="B39" t="s">
        <v>568</v>
      </c>
      <c r="C39" t="s">
        <v>552</v>
      </c>
      <c r="E39" t="s">
        <v>200</v>
      </c>
      <c r="F39">
        <v>19</v>
      </c>
      <c r="G39">
        <v>1952</v>
      </c>
      <c r="H39">
        <v>56</v>
      </c>
      <c r="I39">
        <v>38.125</v>
      </c>
      <c r="J39">
        <v>2404.4409999999998</v>
      </c>
      <c r="K39">
        <v>1014</v>
      </c>
    </row>
    <row r="40" spans="1:11">
      <c r="A40">
        <v>13025</v>
      </c>
      <c r="B40" t="s">
        <v>1201</v>
      </c>
      <c r="C40" t="s">
        <v>608</v>
      </c>
      <c r="E40" t="s">
        <v>1202</v>
      </c>
      <c r="F40">
        <v>76</v>
      </c>
      <c r="G40">
        <v>1979</v>
      </c>
      <c r="H40">
        <v>704</v>
      </c>
      <c r="I40">
        <v>0</v>
      </c>
      <c r="J40">
        <v>0</v>
      </c>
      <c r="K40">
        <v>0</v>
      </c>
    </row>
    <row r="41" spans="1:11">
      <c r="A41">
        <v>13050</v>
      </c>
      <c r="B41" t="s">
        <v>1204</v>
      </c>
      <c r="C41" t="s">
        <v>653</v>
      </c>
      <c r="D41" t="s">
        <v>107</v>
      </c>
      <c r="E41" t="s">
        <v>1200</v>
      </c>
      <c r="F41">
        <v>70</v>
      </c>
      <c r="G41">
        <v>1935</v>
      </c>
      <c r="H41">
        <v>638</v>
      </c>
      <c r="I41">
        <v>0.95299999999999996</v>
      </c>
      <c r="J41">
        <v>41.651000000000003</v>
      </c>
      <c r="K41">
        <v>0</v>
      </c>
    </row>
    <row r="42" spans="1:11">
      <c r="A42">
        <v>28005</v>
      </c>
      <c r="B42" t="s">
        <v>571</v>
      </c>
      <c r="C42" t="s">
        <v>572</v>
      </c>
      <c r="E42" t="s">
        <v>1197</v>
      </c>
      <c r="F42">
        <v>2</v>
      </c>
      <c r="G42">
        <v>1953</v>
      </c>
      <c r="H42">
        <v>396</v>
      </c>
      <c r="I42">
        <v>5.375</v>
      </c>
      <c r="J42">
        <v>312.60899999999998</v>
      </c>
      <c r="K42">
        <v>84</v>
      </c>
    </row>
    <row r="43" spans="1:11">
      <c r="A43">
        <v>28056</v>
      </c>
      <c r="B43" t="s">
        <v>573</v>
      </c>
      <c r="C43" t="s">
        <v>555</v>
      </c>
      <c r="D43" t="s">
        <v>107</v>
      </c>
      <c r="E43" t="s">
        <v>1197</v>
      </c>
      <c r="F43">
        <v>2</v>
      </c>
      <c r="G43">
        <v>1952</v>
      </c>
      <c r="H43">
        <v>705</v>
      </c>
      <c r="I43">
        <v>0</v>
      </c>
      <c r="J43">
        <v>0</v>
      </c>
      <c r="K43">
        <v>0</v>
      </c>
    </row>
    <row r="44" spans="1:11">
      <c r="A44">
        <v>12033</v>
      </c>
      <c r="B44" t="s">
        <v>574</v>
      </c>
      <c r="C44" t="s">
        <v>575</v>
      </c>
      <c r="E44" t="s">
        <v>576</v>
      </c>
      <c r="F44">
        <v>73</v>
      </c>
      <c r="G44">
        <v>1948</v>
      </c>
      <c r="H44">
        <v>416</v>
      </c>
      <c r="I44">
        <v>6.907</v>
      </c>
      <c r="J44">
        <v>272.15100000000001</v>
      </c>
      <c r="K44">
        <v>24</v>
      </c>
    </row>
    <row r="45" spans="1:11">
      <c r="A45">
        <v>12030</v>
      </c>
      <c r="B45" t="s">
        <v>577</v>
      </c>
      <c r="C45" t="s">
        <v>578</v>
      </c>
      <c r="D45" t="s">
        <v>107</v>
      </c>
      <c r="E45" t="s">
        <v>576</v>
      </c>
      <c r="F45">
        <v>73</v>
      </c>
      <c r="G45">
        <v>1948</v>
      </c>
      <c r="H45">
        <v>356</v>
      </c>
      <c r="I45">
        <v>9.0250000000000004</v>
      </c>
      <c r="J45">
        <v>384.77199999999999</v>
      </c>
      <c r="K45">
        <v>44</v>
      </c>
    </row>
    <row r="46" spans="1:11">
      <c r="A46">
        <v>17061</v>
      </c>
      <c r="B46" t="s">
        <v>1394</v>
      </c>
      <c r="C46" t="s">
        <v>589</v>
      </c>
      <c r="D46" t="s">
        <v>91</v>
      </c>
      <c r="E46" t="s">
        <v>1388</v>
      </c>
      <c r="F46">
        <v>82</v>
      </c>
      <c r="G46">
        <v>2003</v>
      </c>
      <c r="H46">
        <v>683</v>
      </c>
      <c r="I46">
        <v>0.65600000000000003</v>
      </c>
      <c r="J46">
        <v>16.643999999999998</v>
      </c>
      <c r="K46">
        <v>0</v>
      </c>
    </row>
    <row r="47" spans="1:11">
      <c r="A47">
        <v>14081</v>
      </c>
      <c r="B47" t="s">
        <v>1395</v>
      </c>
      <c r="C47" t="s">
        <v>1228</v>
      </c>
      <c r="D47" t="s">
        <v>107</v>
      </c>
      <c r="E47" t="s">
        <v>1343</v>
      </c>
      <c r="F47">
        <v>79</v>
      </c>
      <c r="G47">
        <v>1982</v>
      </c>
      <c r="H47">
        <v>131</v>
      </c>
      <c r="I47">
        <v>19.689</v>
      </c>
      <c r="J47">
        <v>1639.663</v>
      </c>
      <c r="K47">
        <v>811</v>
      </c>
    </row>
    <row r="48" spans="1:11">
      <c r="A48">
        <v>15040</v>
      </c>
      <c r="B48" t="s">
        <v>1396</v>
      </c>
      <c r="C48" t="s">
        <v>872</v>
      </c>
      <c r="E48" t="s">
        <v>1397</v>
      </c>
      <c r="F48">
        <v>6</v>
      </c>
      <c r="G48">
        <v>1974</v>
      </c>
      <c r="H48">
        <v>674</v>
      </c>
      <c r="I48">
        <v>0.625</v>
      </c>
      <c r="J48">
        <v>20.579000000000001</v>
      </c>
      <c r="K48">
        <v>0</v>
      </c>
    </row>
    <row r="49" spans="1:11">
      <c r="A49">
        <v>15039</v>
      </c>
      <c r="B49" t="s">
        <v>1398</v>
      </c>
      <c r="C49" t="s">
        <v>684</v>
      </c>
      <c r="D49" t="s">
        <v>107</v>
      </c>
      <c r="E49" t="s">
        <v>1397</v>
      </c>
      <c r="F49">
        <v>6</v>
      </c>
      <c r="G49">
        <v>1978</v>
      </c>
      <c r="H49">
        <v>706</v>
      </c>
      <c r="I49">
        <v>0</v>
      </c>
      <c r="J49">
        <v>0</v>
      </c>
      <c r="K49">
        <v>0</v>
      </c>
    </row>
    <row r="50" spans="1:11">
      <c r="A50">
        <v>10076</v>
      </c>
      <c r="B50" t="s">
        <v>583</v>
      </c>
      <c r="C50" t="s">
        <v>584</v>
      </c>
      <c r="E50" t="s">
        <v>487</v>
      </c>
      <c r="F50">
        <v>69</v>
      </c>
      <c r="G50">
        <v>1947</v>
      </c>
      <c r="H50">
        <v>262</v>
      </c>
      <c r="I50">
        <v>7.8760000000000003</v>
      </c>
      <c r="J50">
        <v>700.06200000000001</v>
      </c>
      <c r="K50">
        <v>362</v>
      </c>
    </row>
    <row r="51" spans="1:11">
      <c r="A51">
        <v>14033</v>
      </c>
      <c r="B51" t="s">
        <v>1399</v>
      </c>
      <c r="C51" t="s">
        <v>741</v>
      </c>
      <c r="E51" t="s">
        <v>1400</v>
      </c>
      <c r="F51">
        <v>78</v>
      </c>
      <c r="G51">
        <v>1969</v>
      </c>
      <c r="H51">
        <v>486</v>
      </c>
      <c r="I51">
        <v>1.6719999999999999</v>
      </c>
      <c r="J51">
        <v>174.89500000000001</v>
      </c>
      <c r="K51">
        <v>96</v>
      </c>
    </row>
    <row r="52" spans="1:11">
      <c r="A52">
        <v>16002</v>
      </c>
      <c r="B52" t="s">
        <v>585</v>
      </c>
      <c r="C52" t="s">
        <v>564</v>
      </c>
      <c r="E52" t="s">
        <v>643</v>
      </c>
      <c r="F52">
        <v>62</v>
      </c>
      <c r="G52">
        <v>1978</v>
      </c>
      <c r="H52">
        <v>707</v>
      </c>
      <c r="I52">
        <v>0</v>
      </c>
      <c r="J52">
        <v>0</v>
      </c>
      <c r="K52">
        <v>0</v>
      </c>
    </row>
    <row r="53" spans="1:11">
      <c r="A53">
        <v>25092</v>
      </c>
      <c r="B53" t="s">
        <v>585</v>
      </c>
      <c r="C53" t="s">
        <v>572</v>
      </c>
      <c r="E53" t="s">
        <v>1206</v>
      </c>
      <c r="F53">
        <v>24</v>
      </c>
      <c r="G53">
        <v>1969</v>
      </c>
      <c r="H53">
        <v>565</v>
      </c>
      <c r="I53">
        <v>2.375</v>
      </c>
      <c r="J53">
        <v>91.344999999999999</v>
      </c>
      <c r="K53">
        <v>0</v>
      </c>
    </row>
    <row r="54" spans="1:11">
      <c r="A54">
        <v>10072</v>
      </c>
      <c r="B54" t="s">
        <v>586</v>
      </c>
      <c r="C54" t="s">
        <v>564</v>
      </c>
      <c r="E54" t="s">
        <v>477</v>
      </c>
      <c r="F54">
        <v>27</v>
      </c>
      <c r="G54">
        <v>1956</v>
      </c>
      <c r="H54">
        <v>301</v>
      </c>
      <c r="I54">
        <v>8.6259999999999994</v>
      </c>
      <c r="J54">
        <v>576.91399999999999</v>
      </c>
      <c r="K54">
        <v>205</v>
      </c>
    </row>
    <row r="55" spans="1:11">
      <c r="A55">
        <v>10009</v>
      </c>
      <c r="B55" t="s">
        <v>587</v>
      </c>
      <c r="C55" t="s">
        <v>584</v>
      </c>
      <c r="E55" t="s">
        <v>1207</v>
      </c>
      <c r="F55">
        <v>66</v>
      </c>
      <c r="G55">
        <v>1949</v>
      </c>
      <c r="H55">
        <v>708</v>
      </c>
      <c r="I55">
        <v>0</v>
      </c>
      <c r="J55">
        <v>0</v>
      </c>
      <c r="K55">
        <v>0</v>
      </c>
    </row>
    <row r="56" spans="1:11">
      <c r="A56">
        <v>16050</v>
      </c>
      <c r="B56" t="s">
        <v>1401</v>
      </c>
      <c r="C56" t="s">
        <v>595</v>
      </c>
      <c r="E56" t="s">
        <v>1393</v>
      </c>
      <c r="F56">
        <v>81</v>
      </c>
      <c r="G56">
        <v>1958</v>
      </c>
      <c r="H56">
        <v>293</v>
      </c>
      <c r="I56">
        <v>7.9539999999999997</v>
      </c>
      <c r="J56">
        <v>609.375</v>
      </c>
      <c r="K56">
        <v>252</v>
      </c>
    </row>
    <row r="57" spans="1:11">
      <c r="A57">
        <v>16028</v>
      </c>
      <c r="B57" t="s">
        <v>1402</v>
      </c>
      <c r="C57" t="s">
        <v>617</v>
      </c>
      <c r="D57" t="s">
        <v>107</v>
      </c>
      <c r="E57" t="s">
        <v>550</v>
      </c>
      <c r="F57">
        <v>29</v>
      </c>
      <c r="G57">
        <v>1968</v>
      </c>
      <c r="H57">
        <v>415</v>
      </c>
      <c r="I57">
        <v>5.032</v>
      </c>
      <c r="J57">
        <v>273.91000000000003</v>
      </c>
      <c r="K57">
        <v>81</v>
      </c>
    </row>
    <row r="58" spans="1:11">
      <c r="A58">
        <v>16055</v>
      </c>
      <c r="B58" t="s">
        <v>1403</v>
      </c>
      <c r="C58" t="s">
        <v>627</v>
      </c>
      <c r="E58" t="s">
        <v>1388</v>
      </c>
      <c r="F58">
        <v>82</v>
      </c>
      <c r="G58">
        <v>1975</v>
      </c>
      <c r="H58">
        <v>491</v>
      </c>
      <c r="I58">
        <v>1.8129999999999999</v>
      </c>
      <c r="J58">
        <v>163.43700000000001</v>
      </c>
      <c r="K58">
        <v>83</v>
      </c>
    </row>
    <row r="59" spans="1:11">
      <c r="A59">
        <v>13055</v>
      </c>
      <c r="B59" t="s">
        <v>1208</v>
      </c>
      <c r="C59" t="s">
        <v>553</v>
      </c>
      <c r="E59" t="s">
        <v>161</v>
      </c>
      <c r="F59">
        <v>30</v>
      </c>
      <c r="G59">
        <v>1971</v>
      </c>
      <c r="H59">
        <v>291</v>
      </c>
      <c r="I59">
        <v>15.500999999999999</v>
      </c>
      <c r="J59">
        <v>614.36699999999996</v>
      </c>
      <c r="K59">
        <v>63</v>
      </c>
    </row>
    <row r="60" spans="1:11">
      <c r="A60">
        <v>14078</v>
      </c>
      <c r="B60" t="s">
        <v>1404</v>
      </c>
      <c r="C60" t="s">
        <v>553</v>
      </c>
      <c r="E60" t="s">
        <v>1343</v>
      </c>
      <c r="F60">
        <v>79</v>
      </c>
      <c r="G60">
        <v>1985</v>
      </c>
      <c r="H60">
        <v>451</v>
      </c>
      <c r="I60">
        <v>1.625</v>
      </c>
      <c r="J60">
        <v>206.76</v>
      </c>
      <c r="K60">
        <v>129</v>
      </c>
    </row>
    <row r="61" spans="1:11">
      <c r="A61">
        <v>12052</v>
      </c>
      <c r="B61" t="s">
        <v>1405</v>
      </c>
      <c r="C61" t="s">
        <v>1406</v>
      </c>
      <c r="E61" t="s">
        <v>550</v>
      </c>
      <c r="F61">
        <v>29</v>
      </c>
      <c r="G61">
        <v>1989</v>
      </c>
      <c r="H61">
        <v>476</v>
      </c>
      <c r="I61">
        <v>2.5</v>
      </c>
      <c r="J61">
        <v>186.47900000000001</v>
      </c>
      <c r="K61">
        <v>81</v>
      </c>
    </row>
    <row r="62" spans="1:11">
      <c r="A62">
        <v>96225</v>
      </c>
      <c r="B62" t="s">
        <v>588</v>
      </c>
      <c r="C62" t="s">
        <v>590</v>
      </c>
      <c r="E62" t="s">
        <v>1209</v>
      </c>
      <c r="F62">
        <v>28</v>
      </c>
      <c r="G62">
        <v>1950</v>
      </c>
      <c r="H62">
        <v>328</v>
      </c>
      <c r="I62">
        <v>10.625999999999999</v>
      </c>
      <c r="J62">
        <v>471.92399999999998</v>
      </c>
      <c r="K62">
        <v>93</v>
      </c>
    </row>
    <row r="63" spans="1:11">
      <c r="A63">
        <v>23049</v>
      </c>
      <c r="B63" t="s">
        <v>588</v>
      </c>
      <c r="C63" t="s">
        <v>591</v>
      </c>
      <c r="E63" t="s">
        <v>1195</v>
      </c>
      <c r="F63">
        <v>44</v>
      </c>
      <c r="G63">
        <v>1985</v>
      </c>
      <c r="H63">
        <v>557</v>
      </c>
      <c r="I63">
        <v>1.0309999999999999</v>
      </c>
      <c r="J63">
        <v>98.061000000000007</v>
      </c>
      <c r="K63">
        <v>49</v>
      </c>
    </row>
    <row r="64" spans="1:11">
      <c r="A64">
        <v>23048</v>
      </c>
      <c r="B64" t="s">
        <v>588</v>
      </c>
      <c r="C64" t="s">
        <v>592</v>
      </c>
      <c r="E64" t="s">
        <v>1195</v>
      </c>
      <c r="F64">
        <v>44</v>
      </c>
      <c r="G64">
        <v>1961</v>
      </c>
      <c r="H64">
        <v>109</v>
      </c>
      <c r="I64">
        <v>24.344000000000001</v>
      </c>
      <c r="J64">
        <v>1802.3510000000001</v>
      </c>
      <c r="K64">
        <v>946</v>
      </c>
    </row>
    <row r="65" spans="1:11">
      <c r="A65">
        <v>23033</v>
      </c>
      <c r="B65" t="s">
        <v>593</v>
      </c>
      <c r="C65" t="s">
        <v>561</v>
      </c>
      <c r="D65" t="s">
        <v>107</v>
      </c>
      <c r="E65" t="s">
        <v>1195</v>
      </c>
      <c r="F65">
        <v>44</v>
      </c>
      <c r="G65">
        <v>1963</v>
      </c>
      <c r="H65">
        <v>709</v>
      </c>
      <c r="I65">
        <v>0</v>
      </c>
      <c r="J65">
        <v>0</v>
      </c>
      <c r="K65">
        <v>0</v>
      </c>
    </row>
    <row r="66" spans="1:11">
      <c r="A66">
        <v>17070</v>
      </c>
      <c r="B66" t="s">
        <v>1407</v>
      </c>
      <c r="C66" t="s">
        <v>590</v>
      </c>
      <c r="E66" t="s">
        <v>1287</v>
      </c>
      <c r="F66">
        <v>65</v>
      </c>
      <c r="G66">
        <v>1954</v>
      </c>
      <c r="H66">
        <v>710</v>
      </c>
      <c r="I66">
        <v>0</v>
      </c>
      <c r="J66">
        <v>0</v>
      </c>
      <c r="K66">
        <v>0</v>
      </c>
    </row>
    <row r="67" spans="1:11">
      <c r="A67">
        <v>26011</v>
      </c>
      <c r="B67" t="s">
        <v>594</v>
      </c>
      <c r="C67" t="s">
        <v>595</v>
      </c>
      <c r="E67" t="s">
        <v>501</v>
      </c>
      <c r="F67">
        <v>1</v>
      </c>
      <c r="G67">
        <v>1987</v>
      </c>
      <c r="H67">
        <v>33</v>
      </c>
      <c r="I67">
        <v>41.5</v>
      </c>
      <c r="J67">
        <v>2875.9169999999999</v>
      </c>
      <c r="K67">
        <v>1158</v>
      </c>
    </row>
    <row r="68" spans="1:11">
      <c r="A68">
        <v>16118</v>
      </c>
      <c r="B68" t="s">
        <v>1408</v>
      </c>
      <c r="C68" t="s">
        <v>610</v>
      </c>
      <c r="D68" t="s">
        <v>107</v>
      </c>
      <c r="E68" t="s">
        <v>1343</v>
      </c>
      <c r="F68">
        <v>79</v>
      </c>
      <c r="G68">
        <v>1986</v>
      </c>
      <c r="H68">
        <v>240</v>
      </c>
      <c r="I68">
        <v>7.4930000000000003</v>
      </c>
      <c r="J68">
        <v>834.58900000000006</v>
      </c>
      <c r="K68">
        <v>477</v>
      </c>
    </row>
    <row r="69" spans="1:11">
      <c r="A69">
        <v>11049</v>
      </c>
      <c r="B69" t="s">
        <v>596</v>
      </c>
      <c r="C69" t="s">
        <v>597</v>
      </c>
      <c r="E69" t="s">
        <v>501</v>
      </c>
      <c r="F69">
        <v>1</v>
      </c>
      <c r="G69">
        <v>1953</v>
      </c>
      <c r="H69">
        <v>581</v>
      </c>
      <c r="I69">
        <v>2.5310000000000001</v>
      </c>
      <c r="J69">
        <v>78.849999999999994</v>
      </c>
      <c r="K69">
        <v>0</v>
      </c>
    </row>
    <row r="70" spans="1:11">
      <c r="A70">
        <v>16033</v>
      </c>
      <c r="B70" t="s">
        <v>1409</v>
      </c>
      <c r="C70" t="s">
        <v>589</v>
      </c>
      <c r="E70" t="s">
        <v>155</v>
      </c>
      <c r="F70">
        <v>22</v>
      </c>
      <c r="G70">
        <v>1977</v>
      </c>
      <c r="H70">
        <v>203</v>
      </c>
      <c r="I70">
        <v>17.001000000000001</v>
      </c>
      <c r="J70">
        <v>1047.3979999999999</v>
      </c>
      <c r="K70">
        <v>415</v>
      </c>
    </row>
    <row r="71" spans="1:11">
      <c r="A71">
        <v>22957</v>
      </c>
      <c r="B71" t="s">
        <v>1410</v>
      </c>
      <c r="C71" t="s">
        <v>1411</v>
      </c>
      <c r="E71" t="s">
        <v>200</v>
      </c>
      <c r="F71">
        <v>19</v>
      </c>
      <c r="G71">
        <v>1967</v>
      </c>
      <c r="H71">
        <v>711</v>
      </c>
      <c r="I71">
        <v>0</v>
      </c>
      <c r="J71">
        <v>0</v>
      </c>
      <c r="K71">
        <v>0</v>
      </c>
    </row>
    <row r="72" spans="1:11">
      <c r="A72">
        <v>16036</v>
      </c>
      <c r="B72" t="s">
        <v>1412</v>
      </c>
      <c r="C72" t="s">
        <v>859</v>
      </c>
      <c r="D72" t="s">
        <v>107</v>
      </c>
      <c r="E72" t="s">
        <v>1200</v>
      </c>
      <c r="F72">
        <v>70</v>
      </c>
      <c r="G72">
        <v>1953</v>
      </c>
      <c r="H72">
        <v>712</v>
      </c>
      <c r="I72">
        <v>0</v>
      </c>
      <c r="J72">
        <v>0</v>
      </c>
      <c r="K72">
        <v>0</v>
      </c>
    </row>
    <row r="73" spans="1:11">
      <c r="A73">
        <v>96005</v>
      </c>
      <c r="B73" t="s">
        <v>598</v>
      </c>
      <c r="C73" t="s">
        <v>589</v>
      </c>
      <c r="E73" t="s">
        <v>475</v>
      </c>
      <c r="F73">
        <v>63</v>
      </c>
      <c r="G73">
        <v>1946</v>
      </c>
      <c r="H73">
        <v>95</v>
      </c>
      <c r="I73">
        <v>27.25</v>
      </c>
      <c r="J73">
        <v>1936.213</v>
      </c>
      <c r="K73">
        <v>924</v>
      </c>
    </row>
    <row r="74" spans="1:11">
      <c r="A74">
        <v>13006</v>
      </c>
      <c r="B74" t="s">
        <v>600</v>
      </c>
      <c r="C74" t="s">
        <v>601</v>
      </c>
      <c r="E74" t="s">
        <v>1170</v>
      </c>
      <c r="F74">
        <v>75</v>
      </c>
      <c r="G74">
        <v>1987</v>
      </c>
      <c r="H74">
        <v>343</v>
      </c>
      <c r="I74">
        <v>3.375</v>
      </c>
      <c r="J74">
        <v>430.53800000000001</v>
      </c>
      <c r="K74">
        <v>263</v>
      </c>
    </row>
    <row r="75" spans="1:11">
      <c r="A75">
        <v>13005</v>
      </c>
      <c r="B75" t="s">
        <v>600</v>
      </c>
      <c r="C75" t="s">
        <v>602</v>
      </c>
      <c r="E75" t="s">
        <v>1170</v>
      </c>
      <c r="F75">
        <v>75</v>
      </c>
      <c r="G75">
        <v>1963</v>
      </c>
      <c r="H75">
        <v>64</v>
      </c>
      <c r="I75">
        <v>32.469000000000001</v>
      </c>
      <c r="J75">
        <v>2281.1950000000002</v>
      </c>
      <c r="K75">
        <v>1080</v>
      </c>
    </row>
    <row r="76" spans="1:11">
      <c r="A76">
        <v>13008</v>
      </c>
      <c r="B76" t="s">
        <v>600</v>
      </c>
      <c r="C76" t="s">
        <v>572</v>
      </c>
      <c r="E76" t="s">
        <v>1170</v>
      </c>
      <c r="F76">
        <v>75</v>
      </c>
      <c r="G76">
        <v>1989</v>
      </c>
      <c r="H76">
        <v>713</v>
      </c>
      <c r="I76">
        <v>0</v>
      </c>
      <c r="J76">
        <v>0</v>
      </c>
      <c r="K76">
        <v>0</v>
      </c>
    </row>
    <row r="77" spans="1:11">
      <c r="A77">
        <v>13007</v>
      </c>
      <c r="B77" t="s">
        <v>603</v>
      </c>
      <c r="C77" t="s">
        <v>539</v>
      </c>
      <c r="D77" t="s">
        <v>107</v>
      </c>
      <c r="E77" t="s">
        <v>1170</v>
      </c>
      <c r="F77">
        <v>75</v>
      </c>
      <c r="G77">
        <v>1966</v>
      </c>
      <c r="H77">
        <v>66</v>
      </c>
      <c r="I77">
        <v>28.594999999999999</v>
      </c>
      <c r="J77">
        <v>2256.1999999999998</v>
      </c>
      <c r="K77">
        <v>1161</v>
      </c>
    </row>
    <row r="78" spans="1:11">
      <c r="A78">
        <v>20700</v>
      </c>
      <c r="B78" t="s">
        <v>605</v>
      </c>
      <c r="C78" t="s">
        <v>606</v>
      </c>
      <c r="D78" t="s">
        <v>107</v>
      </c>
      <c r="E78" t="s">
        <v>198</v>
      </c>
      <c r="F78">
        <v>17</v>
      </c>
      <c r="G78">
        <v>1970</v>
      </c>
      <c r="H78">
        <v>450</v>
      </c>
      <c r="I78">
        <v>1.5940000000000001</v>
      </c>
      <c r="J78">
        <v>208.26400000000001</v>
      </c>
      <c r="K78">
        <v>131</v>
      </c>
    </row>
    <row r="79" spans="1:11">
      <c r="A79">
        <v>96034</v>
      </c>
      <c r="B79" t="s">
        <v>607</v>
      </c>
      <c r="C79" t="s">
        <v>608</v>
      </c>
      <c r="E79" t="s">
        <v>501</v>
      </c>
      <c r="F79">
        <v>1</v>
      </c>
      <c r="G79">
        <v>1966</v>
      </c>
      <c r="H79">
        <v>34</v>
      </c>
      <c r="I79">
        <v>47.875</v>
      </c>
      <c r="J79">
        <v>2862.9720000000002</v>
      </c>
      <c r="K79">
        <v>855</v>
      </c>
    </row>
    <row r="80" spans="1:11">
      <c r="A80">
        <v>98425</v>
      </c>
      <c r="B80" t="s">
        <v>607</v>
      </c>
      <c r="C80" t="s">
        <v>1070</v>
      </c>
      <c r="E80" t="s">
        <v>1210</v>
      </c>
      <c r="F80">
        <v>42</v>
      </c>
      <c r="G80">
        <v>1946</v>
      </c>
      <c r="H80">
        <v>368</v>
      </c>
      <c r="I80">
        <v>7.391</v>
      </c>
      <c r="J80">
        <v>360.29700000000003</v>
      </c>
      <c r="K80">
        <v>69</v>
      </c>
    </row>
    <row r="81" spans="1:11">
      <c r="A81">
        <v>13040</v>
      </c>
      <c r="B81" t="s">
        <v>607</v>
      </c>
      <c r="C81" t="s">
        <v>758</v>
      </c>
      <c r="D81" t="s">
        <v>91</v>
      </c>
      <c r="E81" t="s">
        <v>501</v>
      </c>
      <c r="F81">
        <v>1</v>
      </c>
      <c r="G81">
        <v>2003</v>
      </c>
      <c r="H81">
        <v>73</v>
      </c>
      <c r="I81">
        <v>35</v>
      </c>
      <c r="J81">
        <v>2162.5729999999999</v>
      </c>
      <c r="K81">
        <v>787</v>
      </c>
    </row>
    <row r="82" spans="1:11">
      <c r="A82">
        <v>96043</v>
      </c>
      <c r="B82" t="s">
        <v>609</v>
      </c>
      <c r="C82" t="s">
        <v>610</v>
      </c>
      <c r="D82" t="s">
        <v>107</v>
      </c>
      <c r="E82" t="s">
        <v>501</v>
      </c>
      <c r="F82">
        <v>1</v>
      </c>
      <c r="G82">
        <v>1973</v>
      </c>
      <c r="H82">
        <v>402</v>
      </c>
      <c r="I82">
        <v>3.875</v>
      </c>
      <c r="J82">
        <v>304.26100000000002</v>
      </c>
      <c r="K82">
        <v>153</v>
      </c>
    </row>
    <row r="83" spans="1:11">
      <c r="A83">
        <v>26009</v>
      </c>
      <c r="B83" t="s">
        <v>611</v>
      </c>
      <c r="C83" t="s">
        <v>612</v>
      </c>
      <c r="E83" t="s">
        <v>501</v>
      </c>
      <c r="F83">
        <v>1</v>
      </c>
      <c r="G83">
        <v>1956</v>
      </c>
      <c r="H83">
        <v>431</v>
      </c>
      <c r="I83">
        <v>7.3129999999999997</v>
      </c>
      <c r="J83">
        <v>248.886</v>
      </c>
      <c r="K83">
        <v>0</v>
      </c>
    </row>
    <row r="84" spans="1:11">
      <c r="A84">
        <v>28008</v>
      </c>
      <c r="B84" t="s">
        <v>613</v>
      </c>
      <c r="C84" t="s">
        <v>614</v>
      </c>
      <c r="D84" t="s">
        <v>107</v>
      </c>
      <c r="E84" t="s">
        <v>501</v>
      </c>
      <c r="F84">
        <v>1</v>
      </c>
      <c r="G84">
        <v>1956</v>
      </c>
      <c r="H84">
        <v>531</v>
      </c>
      <c r="I84">
        <v>4.2809999999999997</v>
      </c>
      <c r="J84">
        <v>119.11</v>
      </c>
      <c r="K84">
        <v>0</v>
      </c>
    </row>
    <row r="85" spans="1:11">
      <c r="A85">
        <v>96141</v>
      </c>
      <c r="B85" t="s">
        <v>615</v>
      </c>
      <c r="C85" t="s">
        <v>564</v>
      </c>
      <c r="E85" t="s">
        <v>489</v>
      </c>
      <c r="F85">
        <v>13</v>
      </c>
      <c r="G85">
        <v>1958</v>
      </c>
      <c r="H85">
        <v>714</v>
      </c>
      <c r="I85">
        <v>0</v>
      </c>
      <c r="J85">
        <v>0</v>
      </c>
      <c r="K85">
        <v>0</v>
      </c>
    </row>
    <row r="86" spans="1:11">
      <c r="A86">
        <v>96181</v>
      </c>
      <c r="B86" t="s">
        <v>616</v>
      </c>
      <c r="C86" t="s">
        <v>617</v>
      </c>
      <c r="D86" t="s">
        <v>107</v>
      </c>
      <c r="E86" t="s">
        <v>489</v>
      </c>
      <c r="F86">
        <v>13</v>
      </c>
      <c r="G86">
        <v>1961</v>
      </c>
      <c r="H86">
        <v>345</v>
      </c>
      <c r="I86">
        <v>4.6260000000000003</v>
      </c>
      <c r="J86">
        <v>418.75099999999998</v>
      </c>
      <c r="K86">
        <v>218</v>
      </c>
    </row>
    <row r="87" spans="1:11">
      <c r="A87">
        <v>13045</v>
      </c>
      <c r="B87" t="s">
        <v>1211</v>
      </c>
      <c r="C87" t="s">
        <v>552</v>
      </c>
      <c r="E87" t="s">
        <v>470</v>
      </c>
      <c r="F87">
        <v>20</v>
      </c>
      <c r="G87">
        <v>1950</v>
      </c>
      <c r="H87">
        <v>340</v>
      </c>
      <c r="I87">
        <v>9.657</v>
      </c>
      <c r="J87">
        <v>435.69299999999998</v>
      </c>
      <c r="K87">
        <v>58</v>
      </c>
    </row>
    <row r="88" spans="1:11">
      <c r="A88">
        <v>26081</v>
      </c>
      <c r="B88" t="s">
        <v>618</v>
      </c>
      <c r="C88" t="s">
        <v>584</v>
      </c>
      <c r="E88" t="s">
        <v>1197</v>
      </c>
      <c r="F88">
        <v>2</v>
      </c>
      <c r="G88">
        <v>1958</v>
      </c>
      <c r="H88">
        <v>715</v>
      </c>
      <c r="I88">
        <v>0</v>
      </c>
      <c r="J88">
        <v>0</v>
      </c>
      <c r="K88">
        <v>0</v>
      </c>
    </row>
    <row r="89" spans="1:11">
      <c r="A89">
        <v>99505</v>
      </c>
      <c r="B89" t="s">
        <v>619</v>
      </c>
      <c r="C89" t="s">
        <v>564</v>
      </c>
      <c r="E89" t="s">
        <v>470</v>
      </c>
      <c r="F89">
        <v>20</v>
      </c>
      <c r="G89">
        <v>1966</v>
      </c>
      <c r="H89">
        <v>218</v>
      </c>
      <c r="I89">
        <v>18.984000000000002</v>
      </c>
      <c r="J89">
        <v>964.33</v>
      </c>
      <c r="K89">
        <v>195</v>
      </c>
    </row>
    <row r="90" spans="1:11">
      <c r="A90">
        <v>22960</v>
      </c>
      <c r="B90" t="s">
        <v>620</v>
      </c>
      <c r="C90" t="s">
        <v>621</v>
      </c>
      <c r="E90" t="s">
        <v>200</v>
      </c>
      <c r="F90">
        <v>19</v>
      </c>
      <c r="G90">
        <v>1962</v>
      </c>
      <c r="H90">
        <v>661</v>
      </c>
      <c r="I90">
        <v>0.68799999999999994</v>
      </c>
      <c r="J90">
        <v>25.286000000000001</v>
      </c>
      <c r="K90">
        <v>0</v>
      </c>
    </row>
    <row r="91" spans="1:11">
      <c r="A91">
        <v>10051</v>
      </c>
      <c r="B91" t="s">
        <v>622</v>
      </c>
      <c r="C91" t="s">
        <v>589</v>
      </c>
      <c r="E91" t="s">
        <v>623</v>
      </c>
      <c r="F91">
        <v>45</v>
      </c>
      <c r="G91">
        <v>1998</v>
      </c>
      <c r="H91">
        <v>40</v>
      </c>
      <c r="I91">
        <v>38.75</v>
      </c>
      <c r="J91">
        <v>2764.0320000000002</v>
      </c>
      <c r="K91">
        <v>1305</v>
      </c>
    </row>
    <row r="92" spans="1:11">
      <c r="A92">
        <v>11017</v>
      </c>
      <c r="B92" t="s">
        <v>622</v>
      </c>
      <c r="C92" t="s">
        <v>564</v>
      </c>
      <c r="E92" t="s">
        <v>623</v>
      </c>
      <c r="F92">
        <v>45</v>
      </c>
      <c r="G92">
        <v>1947</v>
      </c>
      <c r="H92">
        <v>426</v>
      </c>
      <c r="I92">
        <v>4.7649999999999997</v>
      </c>
      <c r="J92">
        <v>257.59100000000001</v>
      </c>
      <c r="K92">
        <v>43</v>
      </c>
    </row>
    <row r="93" spans="1:11">
      <c r="A93">
        <v>12002</v>
      </c>
      <c r="B93" t="s">
        <v>622</v>
      </c>
      <c r="C93" t="s">
        <v>564</v>
      </c>
      <c r="E93" t="s">
        <v>623</v>
      </c>
      <c r="F93">
        <v>45</v>
      </c>
      <c r="G93">
        <v>1994</v>
      </c>
      <c r="H93">
        <v>127</v>
      </c>
      <c r="I93">
        <v>21.094999999999999</v>
      </c>
      <c r="J93">
        <v>1663.5820000000001</v>
      </c>
      <c r="K93">
        <v>756</v>
      </c>
    </row>
    <row r="94" spans="1:11">
      <c r="A94">
        <v>17040</v>
      </c>
      <c r="B94" t="s">
        <v>1413</v>
      </c>
      <c r="C94" t="s">
        <v>684</v>
      </c>
      <c r="D94" t="s">
        <v>655</v>
      </c>
      <c r="E94" t="s">
        <v>1197</v>
      </c>
      <c r="F94">
        <v>2</v>
      </c>
      <c r="G94">
        <v>2004</v>
      </c>
      <c r="H94">
        <v>716</v>
      </c>
      <c r="I94">
        <v>0</v>
      </c>
      <c r="J94">
        <v>0</v>
      </c>
      <c r="K94">
        <v>0</v>
      </c>
    </row>
    <row r="95" spans="1:11">
      <c r="A95">
        <v>16108</v>
      </c>
      <c r="B95" t="s">
        <v>1414</v>
      </c>
      <c r="C95" t="s">
        <v>1415</v>
      </c>
      <c r="E95" t="s">
        <v>1218</v>
      </c>
      <c r="F95">
        <v>5</v>
      </c>
      <c r="G95">
        <v>1984</v>
      </c>
      <c r="H95">
        <v>425</v>
      </c>
      <c r="I95">
        <v>2</v>
      </c>
      <c r="J95">
        <v>258.70400000000001</v>
      </c>
      <c r="K95">
        <v>163</v>
      </c>
    </row>
    <row r="96" spans="1:11">
      <c r="A96">
        <v>20714</v>
      </c>
      <c r="B96" t="s">
        <v>624</v>
      </c>
      <c r="C96" t="s">
        <v>625</v>
      </c>
      <c r="D96" t="s">
        <v>107</v>
      </c>
      <c r="E96" t="s">
        <v>470</v>
      </c>
      <c r="F96">
        <v>20</v>
      </c>
      <c r="G96">
        <v>1950</v>
      </c>
      <c r="H96">
        <v>311</v>
      </c>
      <c r="I96">
        <v>8.4390000000000001</v>
      </c>
      <c r="J96">
        <v>536.82100000000003</v>
      </c>
      <c r="K96">
        <v>189</v>
      </c>
    </row>
    <row r="97" spans="1:11">
      <c r="A97">
        <v>15011</v>
      </c>
      <c r="B97" t="s">
        <v>626</v>
      </c>
      <c r="C97" t="s">
        <v>690</v>
      </c>
      <c r="E97" t="s">
        <v>576</v>
      </c>
      <c r="F97">
        <v>73</v>
      </c>
      <c r="G97">
        <v>1965</v>
      </c>
      <c r="H97">
        <v>85</v>
      </c>
      <c r="I97">
        <v>29.875</v>
      </c>
      <c r="J97">
        <v>2008.991</v>
      </c>
      <c r="K97">
        <v>1027</v>
      </c>
    </row>
    <row r="98" spans="1:11">
      <c r="A98">
        <v>15010</v>
      </c>
      <c r="B98" t="s">
        <v>628</v>
      </c>
      <c r="C98" t="s">
        <v>1416</v>
      </c>
      <c r="D98" t="s">
        <v>107</v>
      </c>
      <c r="E98" t="s">
        <v>576</v>
      </c>
      <c r="F98">
        <v>73</v>
      </c>
      <c r="G98">
        <v>1952</v>
      </c>
      <c r="H98">
        <v>129</v>
      </c>
      <c r="I98">
        <v>28.187999999999999</v>
      </c>
      <c r="J98">
        <v>1659.2460000000001</v>
      </c>
      <c r="K98">
        <v>784</v>
      </c>
    </row>
    <row r="99" spans="1:11">
      <c r="A99">
        <v>16047</v>
      </c>
      <c r="B99" t="s">
        <v>1417</v>
      </c>
      <c r="C99" t="s">
        <v>813</v>
      </c>
      <c r="E99" t="s">
        <v>1393</v>
      </c>
      <c r="F99">
        <v>81</v>
      </c>
      <c r="G99">
        <v>1967</v>
      </c>
      <c r="H99">
        <v>165</v>
      </c>
      <c r="I99">
        <v>22.126000000000001</v>
      </c>
      <c r="J99">
        <v>1308.979</v>
      </c>
      <c r="K99">
        <v>444</v>
      </c>
    </row>
    <row r="100" spans="1:11">
      <c r="A100">
        <v>16048</v>
      </c>
      <c r="B100" t="s">
        <v>1417</v>
      </c>
      <c r="C100" t="s">
        <v>708</v>
      </c>
      <c r="E100" t="s">
        <v>1393</v>
      </c>
      <c r="F100">
        <v>81</v>
      </c>
      <c r="G100">
        <v>1991</v>
      </c>
      <c r="H100">
        <v>259</v>
      </c>
      <c r="I100">
        <v>11.061999999999999</v>
      </c>
      <c r="J100">
        <v>715.53499999999997</v>
      </c>
      <c r="K100">
        <v>290</v>
      </c>
    </row>
    <row r="101" spans="1:11">
      <c r="A101">
        <v>24207</v>
      </c>
      <c r="B101" t="s">
        <v>630</v>
      </c>
      <c r="C101" t="s">
        <v>535</v>
      </c>
      <c r="E101" t="s">
        <v>570</v>
      </c>
      <c r="F101">
        <v>16</v>
      </c>
      <c r="G101">
        <v>1994</v>
      </c>
      <c r="H101">
        <v>717</v>
      </c>
      <c r="I101">
        <v>0</v>
      </c>
      <c r="J101">
        <v>0</v>
      </c>
      <c r="K101">
        <v>0</v>
      </c>
    </row>
    <row r="102" spans="1:11">
      <c r="A102">
        <v>16078</v>
      </c>
      <c r="B102" t="s">
        <v>1418</v>
      </c>
      <c r="C102" t="s">
        <v>718</v>
      </c>
      <c r="D102" t="s">
        <v>107</v>
      </c>
      <c r="E102" t="s">
        <v>1419</v>
      </c>
      <c r="F102">
        <v>84</v>
      </c>
      <c r="G102">
        <v>1953</v>
      </c>
      <c r="H102">
        <v>552</v>
      </c>
      <c r="I102">
        <v>2.407</v>
      </c>
      <c r="J102">
        <v>100.32899999999999</v>
      </c>
      <c r="K102">
        <v>0</v>
      </c>
    </row>
    <row r="103" spans="1:11">
      <c r="A103">
        <v>17072</v>
      </c>
      <c r="B103" t="s">
        <v>1420</v>
      </c>
      <c r="C103" t="s">
        <v>535</v>
      </c>
      <c r="E103" t="s">
        <v>1287</v>
      </c>
      <c r="F103">
        <v>65</v>
      </c>
      <c r="G103">
        <v>1955</v>
      </c>
      <c r="H103">
        <v>718</v>
      </c>
      <c r="I103">
        <v>0</v>
      </c>
      <c r="J103">
        <v>0</v>
      </c>
      <c r="K103">
        <v>0</v>
      </c>
    </row>
    <row r="104" spans="1:11">
      <c r="A104">
        <v>10022</v>
      </c>
      <c r="B104" t="s">
        <v>631</v>
      </c>
      <c r="C104" t="s">
        <v>564</v>
      </c>
      <c r="E104" t="s">
        <v>582</v>
      </c>
      <c r="F104">
        <v>67</v>
      </c>
      <c r="G104">
        <v>1961</v>
      </c>
      <c r="H104">
        <v>365</v>
      </c>
      <c r="I104">
        <v>7.4379999999999997</v>
      </c>
      <c r="J104">
        <v>362.77600000000001</v>
      </c>
      <c r="K104">
        <v>102</v>
      </c>
    </row>
    <row r="105" spans="1:11">
      <c r="A105">
        <v>14088</v>
      </c>
      <c r="B105" t="s">
        <v>1421</v>
      </c>
      <c r="C105" t="s">
        <v>546</v>
      </c>
      <c r="D105" t="s">
        <v>107</v>
      </c>
      <c r="E105" t="s">
        <v>1343</v>
      </c>
      <c r="F105">
        <v>79</v>
      </c>
      <c r="G105">
        <v>1984</v>
      </c>
      <c r="H105">
        <v>382</v>
      </c>
      <c r="I105">
        <v>4.1879999999999997</v>
      </c>
      <c r="J105">
        <v>337.90800000000002</v>
      </c>
      <c r="K105">
        <v>142</v>
      </c>
    </row>
    <row r="106" spans="1:11">
      <c r="A106">
        <v>16051</v>
      </c>
      <c r="B106" t="s">
        <v>1422</v>
      </c>
      <c r="C106" t="s">
        <v>531</v>
      </c>
      <c r="E106" t="s">
        <v>1388</v>
      </c>
      <c r="F106">
        <v>82</v>
      </c>
      <c r="G106">
        <v>1979</v>
      </c>
      <c r="H106">
        <v>229</v>
      </c>
      <c r="I106">
        <v>16.22</v>
      </c>
      <c r="J106">
        <v>882.93</v>
      </c>
      <c r="K106">
        <v>271</v>
      </c>
    </row>
    <row r="107" spans="1:11">
      <c r="A107">
        <v>17066</v>
      </c>
      <c r="B107" t="s">
        <v>1422</v>
      </c>
      <c r="C107" t="s">
        <v>885</v>
      </c>
      <c r="D107" t="s">
        <v>91</v>
      </c>
      <c r="E107" t="s">
        <v>1388</v>
      </c>
      <c r="F107">
        <v>82</v>
      </c>
      <c r="G107">
        <v>2009</v>
      </c>
      <c r="H107">
        <v>719</v>
      </c>
      <c r="I107">
        <v>0</v>
      </c>
      <c r="J107">
        <v>0</v>
      </c>
      <c r="K107">
        <v>0</v>
      </c>
    </row>
    <row r="108" spans="1:11">
      <c r="A108">
        <v>16018</v>
      </c>
      <c r="B108" t="s">
        <v>1423</v>
      </c>
      <c r="C108" t="s">
        <v>589</v>
      </c>
      <c r="E108" t="s">
        <v>1424</v>
      </c>
      <c r="F108">
        <v>28</v>
      </c>
      <c r="G108">
        <v>1966</v>
      </c>
      <c r="H108">
        <v>285</v>
      </c>
      <c r="I108">
        <v>15.315</v>
      </c>
      <c r="J108">
        <v>630.32000000000005</v>
      </c>
      <c r="K108">
        <v>93</v>
      </c>
    </row>
    <row r="109" spans="1:11">
      <c r="A109">
        <v>11008</v>
      </c>
      <c r="B109" t="s">
        <v>632</v>
      </c>
      <c r="C109" t="s">
        <v>537</v>
      </c>
      <c r="D109" t="s">
        <v>107</v>
      </c>
      <c r="E109" t="s">
        <v>1200</v>
      </c>
      <c r="F109">
        <v>70</v>
      </c>
      <c r="G109">
        <v>1933</v>
      </c>
      <c r="H109">
        <v>720</v>
      </c>
      <c r="I109">
        <v>0</v>
      </c>
      <c r="J109">
        <v>0</v>
      </c>
      <c r="K109">
        <v>0</v>
      </c>
    </row>
    <row r="110" spans="1:11">
      <c r="A110">
        <v>16035</v>
      </c>
      <c r="B110" t="s">
        <v>1425</v>
      </c>
      <c r="C110" t="s">
        <v>1426</v>
      </c>
      <c r="E110" t="s">
        <v>155</v>
      </c>
      <c r="F110">
        <v>22</v>
      </c>
      <c r="G110">
        <v>1970</v>
      </c>
      <c r="H110">
        <v>721</v>
      </c>
      <c r="I110">
        <v>0</v>
      </c>
      <c r="J110">
        <v>0</v>
      </c>
      <c r="K110">
        <v>0</v>
      </c>
    </row>
    <row r="111" spans="1:11">
      <c r="A111">
        <v>99510</v>
      </c>
      <c r="B111" t="s">
        <v>633</v>
      </c>
      <c r="C111" t="s">
        <v>634</v>
      </c>
      <c r="E111" t="s">
        <v>472</v>
      </c>
      <c r="F111">
        <v>54</v>
      </c>
      <c r="G111">
        <v>1951</v>
      </c>
      <c r="H111">
        <v>63</v>
      </c>
      <c r="I111">
        <v>42.75</v>
      </c>
      <c r="J111">
        <v>2293.0729999999999</v>
      </c>
      <c r="K111">
        <v>684</v>
      </c>
    </row>
    <row r="112" spans="1:11">
      <c r="A112">
        <v>99574</v>
      </c>
      <c r="B112" t="s">
        <v>635</v>
      </c>
      <c r="C112" t="s">
        <v>636</v>
      </c>
      <c r="D112" t="s">
        <v>107</v>
      </c>
      <c r="E112" t="s">
        <v>472</v>
      </c>
      <c r="F112">
        <v>54</v>
      </c>
      <c r="G112">
        <v>1949</v>
      </c>
      <c r="H112">
        <v>38</v>
      </c>
      <c r="I112">
        <v>46.75</v>
      </c>
      <c r="J112">
        <v>2807.2310000000002</v>
      </c>
      <c r="K112">
        <v>1110</v>
      </c>
    </row>
    <row r="113" spans="1:11">
      <c r="A113">
        <v>11007</v>
      </c>
      <c r="B113" t="s">
        <v>637</v>
      </c>
      <c r="C113" t="s">
        <v>638</v>
      </c>
      <c r="D113" t="s">
        <v>107</v>
      </c>
      <c r="E113" t="s">
        <v>1200</v>
      </c>
      <c r="F113">
        <v>70</v>
      </c>
      <c r="G113">
        <v>1942</v>
      </c>
      <c r="H113">
        <v>722</v>
      </c>
      <c r="I113">
        <v>0</v>
      </c>
      <c r="J113">
        <v>0</v>
      </c>
      <c r="K113">
        <v>0</v>
      </c>
    </row>
    <row r="114" spans="1:11">
      <c r="A114">
        <v>13027</v>
      </c>
      <c r="B114" t="s">
        <v>1212</v>
      </c>
      <c r="C114" t="s">
        <v>617</v>
      </c>
      <c r="D114" t="s">
        <v>107</v>
      </c>
      <c r="E114" t="s">
        <v>1202</v>
      </c>
      <c r="F114">
        <v>76</v>
      </c>
      <c r="G114">
        <v>1977</v>
      </c>
      <c r="H114">
        <v>107</v>
      </c>
      <c r="I114">
        <v>26.157</v>
      </c>
      <c r="J114">
        <v>1822.684</v>
      </c>
      <c r="K114">
        <v>797</v>
      </c>
    </row>
    <row r="115" spans="1:11">
      <c r="A115">
        <v>96100</v>
      </c>
      <c r="B115" t="s">
        <v>639</v>
      </c>
      <c r="C115" t="s">
        <v>590</v>
      </c>
      <c r="E115" t="s">
        <v>1206</v>
      </c>
      <c r="F115">
        <v>24</v>
      </c>
      <c r="G115">
        <v>1968</v>
      </c>
      <c r="H115">
        <v>606</v>
      </c>
      <c r="I115">
        <v>2.5</v>
      </c>
      <c r="J115">
        <v>64.477999999999994</v>
      </c>
      <c r="K115">
        <v>0</v>
      </c>
    </row>
    <row r="116" spans="1:11">
      <c r="A116">
        <v>27082</v>
      </c>
      <c r="B116" t="s">
        <v>640</v>
      </c>
      <c r="C116" t="s">
        <v>641</v>
      </c>
      <c r="E116" t="s">
        <v>1197</v>
      </c>
      <c r="F116">
        <v>2</v>
      </c>
      <c r="G116">
        <v>1951</v>
      </c>
      <c r="H116">
        <v>644</v>
      </c>
      <c r="I116">
        <v>0.5</v>
      </c>
      <c r="J116">
        <v>37.969000000000001</v>
      </c>
      <c r="K116">
        <v>15</v>
      </c>
    </row>
    <row r="117" spans="1:11">
      <c r="A117">
        <v>15087</v>
      </c>
      <c r="B117" t="s">
        <v>1427</v>
      </c>
      <c r="C117" t="s">
        <v>967</v>
      </c>
      <c r="E117" t="s">
        <v>1210</v>
      </c>
      <c r="F117">
        <v>42</v>
      </c>
      <c r="G117">
        <v>1942</v>
      </c>
      <c r="H117">
        <v>211</v>
      </c>
      <c r="I117">
        <v>14.471</v>
      </c>
      <c r="J117">
        <v>1023.405</v>
      </c>
      <c r="K117">
        <v>446</v>
      </c>
    </row>
    <row r="118" spans="1:11">
      <c r="A118">
        <v>16037</v>
      </c>
      <c r="B118" t="s">
        <v>1428</v>
      </c>
      <c r="C118" t="s">
        <v>1429</v>
      </c>
      <c r="D118" t="s">
        <v>107</v>
      </c>
      <c r="E118" t="s">
        <v>1200</v>
      </c>
      <c r="F118">
        <v>70</v>
      </c>
      <c r="G118">
        <v>1936</v>
      </c>
      <c r="H118">
        <v>659</v>
      </c>
      <c r="I118">
        <v>0.68799999999999994</v>
      </c>
      <c r="J118">
        <v>30.042999999999999</v>
      </c>
      <c r="K118">
        <v>0</v>
      </c>
    </row>
    <row r="119" spans="1:11">
      <c r="A119">
        <v>28032</v>
      </c>
      <c r="B119" t="s">
        <v>642</v>
      </c>
      <c r="C119" t="s">
        <v>543</v>
      </c>
      <c r="E119" t="s">
        <v>643</v>
      </c>
      <c r="F119">
        <v>62</v>
      </c>
      <c r="G119">
        <v>1967</v>
      </c>
      <c r="H119">
        <v>417</v>
      </c>
      <c r="I119">
        <v>5</v>
      </c>
      <c r="J119">
        <v>271.28100000000001</v>
      </c>
      <c r="K119">
        <v>91</v>
      </c>
    </row>
    <row r="120" spans="1:11">
      <c r="A120">
        <v>28031</v>
      </c>
      <c r="B120" t="s">
        <v>644</v>
      </c>
      <c r="C120" t="s">
        <v>645</v>
      </c>
      <c r="D120" t="s">
        <v>107</v>
      </c>
      <c r="E120" t="s">
        <v>643</v>
      </c>
      <c r="F120">
        <v>62</v>
      </c>
      <c r="G120">
        <v>1970</v>
      </c>
      <c r="H120">
        <v>723</v>
      </c>
      <c r="I120">
        <v>0</v>
      </c>
      <c r="J120">
        <v>0</v>
      </c>
      <c r="K120">
        <v>0</v>
      </c>
    </row>
    <row r="121" spans="1:11">
      <c r="A121">
        <v>16022</v>
      </c>
      <c r="B121" t="s">
        <v>1430</v>
      </c>
      <c r="C121" t="s">
        <v>551</v>
      </c>
      <c r="E121" t="s">
        <v>623</v>
      </c>
      <c r="F121">
        <v>45</v>
      </c>
      <c r="G121">
        <v>1948</v>
      </c>
      <c r="H121">
        <v>632</v>
      </c>
      <c r="I121">
        <v>0.59399999999999997</v>
      </c>
      <c r="J121">
        <v>44.984999999999999</v>
      </c>
      <c r="K121">
        <v>23</v>
      </c>
    </row>
    <row r="122" spans="1:11">
      <c r="A122">
        <v>22953</v>
      </c>
      <c r="B122" t="s">
        <v>646</v>
      </c>
      <c r="C122" t="s">
        <v>627</v>
      </c>
      <c r="E122" t="s">
        <v>170</v>
      </c>
      <c r="F122">
        <v>14</v>
      </c>
      <c r="G122">
        <v>1979</v>
      </c>
      <c r="H122">
        <v>409</v>
      </c>
      <c r="I122">
        <v>4.25</v>
      </c>
      <c r="J122">
        <v>287.60000000000002</v>
      </c>
      <c r="K122">
        <v>114</v>
      </c>
    </row>
    <row r="123" spans="1:11">
      <c r="A123">
        <v>99496</v>
      </c>
      <c r="B123" t="s">
        <v>646</v>
      </c>
      <c r="C123" t="s">
        <v>558</v>
      </c>
      <c r="E123" t="s">
        <v>170</v>
      </c>
      <c r="F123">
        <v>14</v>
      </c>
      <c r="G123">
        <v>1975</v>
      </c>
      <c r="H123">
        <v>354</v>
      </c>
      <c r="I123">
        <v>7.6260000000000003</v>
      </c>
      <c r="J123">
        <v>391.57100000000003</v>
      </c>
      <c r="K123">
        <v>78</v>
      </c>
    </row>
    <row r="124" spans="1:11">
      <c r="A124">
        <v>24272</v>
      </c>
      <c r="B124" t="s">
        <v>646</v>
      </c>
      <c r="C124" t="s">
        <v>552</v>
      </c>
      <c r="E124" t="s">
        <v>170</v>
      </c>
      <c r="F124">
        <v>14</v>
      </c>
      <c r="G124">
        <v>1953</v>
      </c>
      <c r="H124">
        <v>166</v>
      </c>
      <c r="I124">
        <v>26.437999999999999</v>
      </c>
      <c r="J124">
        <v>1305.117</v>
      </c>
      <c r="K124">
        <v>358</v>
      </c>
    </row>
    <row r="125" spans="1:11">
      <c r="A125">
        <v>17039</v>
      </c>
      <c r="B125" t="s">
        <v>1431</v>
      </c>
      <c r="C125" t="s">
        <v>707</v>
      </c>
      <c r="D125" t="s">
        <v>107</v>
      </c>
      <c r="E125" t="s">
        <v>170</v>
      </c>
      <c r="F125">
        <v>14</v>
      </c>
      <c r="G125">
        <v>1976</v>
      </c>
      <c r="H125">
        <v>561</v>
      </c>
      <c r="I125">
        <v>1.9379999999999999</v>
      </c>
      <c r="J125">
        <v>93.650999999999996</v>
      </c>
      <c r="K125">
        <v>0</v>
      </c>
    </row>
    <row r="126" spans="1:11">
      <c r="A126">
        <v>10133</v>
      </c>
      <c r="B126" t="s">
        <v>647</v>
      </c>
      <c r="C126" t="s">
        <v>648</v>
      </c>
      <c r="E126" t="s">
        <v>487</v>
      </c>
      <c r="F126">
        <v>69</v>
      </c>
      <c r="G126">
        <v>1968</v>
      </c>
      <c r="H126">
        <v>623</v>
      </c>
      <c r="I126">
        <v>0.68799999999999994</v>
      </c>
      <c r="J126">
        <v>49.813000000000002</v>
      </c>
      <c r="K126">
        <v>21</v>
      </c>
    </row>
    <row r="127" spans="1:11">
      <c r="A127">
        <v>17067</v>
      </c>
      <c r="B127" t="s">
        <v>1432</v>
      </c>
      <c r="C127" t="s">
        <v>866</v>
      </c>
      <c r="D127" t="s">
        <v>655</v>
      </c>
      <c r="E127" t="s">
        <v>1388</v>
      </c>
      <c r="F127">
        <v>82</v>
      </c>
      <c r="G127">
        <v>2006</v>
      </c>
      <c r="H127">
        <v>724</v>
      </c>
      <c r="I127">
        <v>0</v>
      </c>
      <c r="J127">
        <v>0</v>
      </c>
      <c r="K127">
        <v>0</v>
      </c>
    </row>
    <row r="128" spans="1:11">
      <c r="A128">
        <v>16141</v>
      </c>
      <c r="B128" t="s">
        <v>1433</v>
      </c>
      <c r="C128" t="s">
        <v>610</v>
      </c>
      <c r="D128" t="s">
        <v>107</v>
      </c>
      <c r="E128" t="s">
        <v>1388</v>
      </c>
      <c r="F128">
        <v>82</v>
      </c>
      <c r="G128">
        <v>1976</v>
      </c>
      <c r="H128">
        <v>575</v>
      </c>
      <c r="I128">
        <v>1.8440000000000001</v>
      </c>
      <c r="J128">
        <v>83.63</v>
      </c>
      <c r="K128">
        <v>0</v>
      </c>
    </row>
    <row r="129" spans="1:11">
      <c r="A129">
        <v>26033</v>
      </c>
      <c r="B129" t="s">
        <v>651</v>
      </c>
      <c r="C129" t="s">
        <v>597</v>
      </c>
      <c r="E129" t="s">
        <v>475</v>
      </c>
      <c r="F129">
        <v>63</v>
      </c>
      <c r="G129">
        <v>1963</v>
      </c>
      <c r="H129">
        <v>204</v>
      </c>
      <c r="I129">
        <v>18.219000000000001</v>
      </c>
      <c r="J129">
        <v>1044.6210000000001</v>
      </c>
      <c r="K129">
        <v>357</v>
      </c>
    </row>
    <row r="130" spans="1:11">
      <c r="A130">
        <v>29024</v>
      </c>
      <c r="B130" t="s">
        <v>652</v>
      </c>
      <c r="C130" t="s">
        <v>653</v>
      </c>
      <c r="D130" t="s">
        <v>107</v>
      </c>
      <c r="E130" t="s">
        <v>475</v>
      </c>
      <c r="F130">
        <v>63</v>
      </c>
      <c r="G130">
        <v>1975</v>
      </c>
      <c r="H130">
        <v>255</v>
      </c>
      <c r="I130">
        <v>15.47</v>
      </c>
      <c r="J130">
        <v>729.97500000000002</v>
      </c>
      <c r="K130">
        <v>166</v>
      </c>
    </row>
    <row r="131" spans="1:11">
      <c r="A131">
        <v>11004</v>
      </c>
      <c r="B131" t="s">
        <v>652</v>
      </c>
      <c r="C131" t="s">
        <v>654</v>
      </c>
      <c r="D131" t="s">
        <v>107</v>
      </c>
      <c r="E131" t="s">
        <v>475</v>
      </c>
      <c r="F131">
        <v>63</v>
      </c>
      <c r="G131">
        <v>1997</v>
      </c>
      <c r="H131">
        <v>315</v>
      </c>
      <c r="I131">
        <v>9.0009999999999994</v>
      </c>
      <c r="J131">
        <v>526.20899999999995</v>
      </c>
      <c r="K131">
        <v>186</v>
      </c>
    </row>
    <row r="132" spans="1:11">
      <c r="A132">
        <v>17071</v>
      </c>
      <c r="B132" t="s">
        <v>656</v>
      </c>
      <c r="C132" t="s">
        <v>610</v>
      </c>
      <c r="D132" t="s">
        <v>107</v>
      </c>
      <c r="E132" t="s">
        <v>1287</v>
      </c>
      <c r="F132">
        <v>65</v>
      </c>
      <c r="G132">
        <v>1951</v>
      </c>
      <c r="H132">
        <v>726</v>
      </c>
      <c r="I132">
        <v>0</v>
      </c>
      <c r="J132">
        <v>0</v>
      </c>
      <c r="K132">
        <v>0</v>
      </c>
    </row>
    <row r="133" spans="1:11">
      <c r="A133">
        <v>96099</v>
      </c>
      <c r="B133" t="s">
        <v>656</v>
      </c>
      <c r="C133" t="s">
        <v>625</v>
      </c>
      <c r="D133" t="s">
        <v>107</v>
      </c>
      <c r="E133" t="s">
        <v>1206</v>
      </c>
      <c r="F133">
        <v>24</v>
      </c>
      <c r="G133">
        <v>1953</v>
      </c>
      <c r="H133">
        <v>725</v>
      </c>
      <c r="I133">
        <v>0</v>
      </c>
      <c r="J133">
        <v>0</v>
      </c>
      <c r="K133">
        <v>0</v>
      </c>
    </row>
    <row r="134" spans="1:11">
      <c r="A134">
        <v>15034</v>
      </c>
      <c r="B134" t="s">
        <v>1434</v>
      </c>
      <c r="C134" t="s">
        <v>1435</v>
      </c>
      <c r="D134" t="s">
        <v>107</v>
      </c>
      <c r="E134" t="s">
        <v>576</v>
      </c>
      <c r="F134">
        <v>73</v>
      </c>
      <c r="G134">
        <v>1950</v>
      </c>
      <c r="H134">
        <v>175</v>
      </c>
      <c r="I134">
        <v>18.157</v>
      </c>
      <c r="J134">
        <v>1215.3309999999999</v>
      </c>
      <c r="K134">
        <v>458</v>
      </c>
    </row>
    <row r="135" spans="1:11">
      <c r="A135">
        <v>25042</v>
      </c>
      <c r="B135" t="s">
        <v>657</v>
      </c>
      <c r="C135" t="s">
        <v>584</v>
      </c>
      <c r="E135" t="s">
        <v>489</v>
      </c>
      <c r="F135">
        <v>13</v>
      </c>
      <c r="G135">
        <v>1983</v>
      </c>
      <c r="H135">
        <v>617</v>
      </c>
      <c r="I135">
        <v>2</v>
      </c>
      <c r="J135">
        <v>52.576000000000001</v>
      </c>
      <c r="K135">
        <v>0</v>
      </c>
    </row>
    <row r="136" spans="1:11">
      <c r="A136">
        <v>99529</v>
      </c>
      <c r="B136" t="s">
        <v>657</v>
      </c>
      <c r="C136" t="s">
        <v>534</v>
      </c>
      <c r="E136" t="s">
        <v>550</v>
      </c>
      <c r="F136">
        <v>29</v>
      </c>
      <c r="G136">
        <v>1967</v>
      </c>
      <c r="H136">
        <v>727</v>
      </c>
      <c r="I136">
        <v>0</v>
      </c>
      <c r="J136">
        <v>0</v>
      </c>
      <c r="K136">
        <v>0</v>
      </c>
    </row>
    <row r="137" spans="1:11">
      <c r="A137">
        <v>21760</v>
      </c>
      <c r="B137" t="s">
        <v>658</v>
      </c>
      <c r="C137" t="s">
        <v>659</v>
      </c>
      <c r="D137" t="s">
        <v>107</v>
      </c>
      <c r="E137" t="s">
        <v>550</v>
      </c>
      <c r="F137">
        <v>29</v>
      </c>
      <c r="G137">
        <v>1967</v>
      </c>
      <c r="H137">
        <v>216</v>
      </c>
      <c r="I137">
        <v>15.500999999999999</v>
      </c>
      <c r="J137">
        <v>975.32399999999996</v>
      </c>
      <c r="K137">
        <v>396</v>
      </c>
    </row>
    <row r="138" spans="1:11">
      <c r="A138">
        <v>28037</v>
      </c>
      <c r="B138" t="s">
        <v>658</v>
      </c>
      <c r="C138" t="s">
        <v>660</v>
      </c>
      <c r="D138" t="s">
        <v>107</v>
      </c>
      <c r="E138" t="s">
        <v>200</v>
      </c>
      <c r="F138">
        <v>19</v>
      </c>
      <c r="G138">
        <v>1953</v>
      </c>
      <c r="H138">
        <v>462</v>
      </c>
      <c r="I138">
        <v>3.5640000000000001</v>
      </c>
      <c r="J138">
        <v>198.39400000000001</v>
      </c>
      <c r="K138">
        <v>55</v>
      </c>
    </row>
    <row r="139" spans="1:11">
      <c r="A139">
        <v>27085</v>
      </c>
      <c r="B139" t="s">
        <v>661</v>
      </c>
      <c r="C139" t="s">
        <v>543</v>
      </c>
      <c r="E139" t="s">
        <v>1206</v>
      </c>
      <c r="F139">
        <v>24</v>
      </c>
      <c r="G139">
        <v>1985</v>
      </c>
      <c r="H139">
        <v>432</v>
      </c>
      <c r="I139">
        <v>5.875</v>
      </c>
      <c r="J139">
        <v>247.80699999999999</v>
      </c>
      <c r="K139">
        <v>0</v>
      </c>
    </row>
    <row r="140" spans="1:11">
      <c r="A140">
        <v>15083</v>
      </c>
      <c r="B140" t="s">
        <v>1436</v>
      </c>
      <c r="C140" t="s">
        <v>551</v>
      </c>
      <c r="E140" t="s">
        <v>1197</v>
      </c>
      <c r="F140">
        <v>2</v>
      </c>
      <c r="G140">
        <v>1993</v>
      </c>
      <c r="H140">
        <v>370</v>
      </c>
      <c r="I140">
        <v>8.9380000000000006</v>
      </c>
      <c r="J140">
        <v>354.73200000000003</v>
      </c>
      <c r="K140">
        <v>57</v>
      </c>
    </row>
    <row r="141" spans="1:11">
      <c r="A141">
        <v>17056</v>
      </c>
      <c r="B141" t="s">
        <v>578</v>
      </c>
      <c r="C141" t="s">
        <v>673</v>
      </c>
      <c r="E141" t="s">
        <v>1437</v>
      </c>
      <c r="F141">
        <v>86</v>
      </c>
      <c r="G141">
        <v>1996</v>
      </c>
      <c r="H141">
        <v>553</v>
      </c>
      <c r="I141">
        <v>2.109</v>
      </c>
      <c r="J141">
        <v>99.507000000000005</v>
      </c>
      <c r="K141">
        <v>0</v>
      </c>
    </row>
    <row r="142" spans="1:11">
      <c r="A142">
        <v>17069</v>
      </c>
      <c r="B142" t="s">
        <v>1438</v>
      </c>
      <c r="C142" t="s">
        <v>777</v>
      </c>
      <c r="D142" t="s">
        <v>107</v>
      </c>
      <c r="E142" t="s">
        <v>1287</v>
      </c>
      <c r="F142">
        <v>65</v>
      </c>
      <c r="G142">
        <v>1949</v>
      </c>
      <c r="H142">
        <v>728</v>
      </c>
      <c r="I142">
        <v>0</v>
      </c>
      <c r="J142">
        <v>0</v>
      </c>
      <c r="K142">
        <v>0</v>
      </c>
    </row>
    <row r="143" spans="1:11">
      <c r="A143">
        <v>28033</v>
      </c>
      <c r="B143" t="s">
        <v>664</v>
      </c>
      <c r="C143" t="s">
        <v>558</v>
      </c>
      <c r="E143" t="s">
        <v>643</v>
      </c>
      <c r="F143">
        <v>62</v>
      </c>
      <c r="G143">
        <v>1994</v>
      </c>
      <c r="H143">
        <v>729</v>
      </c>
      <c r="I143">
        <v>0</v>
      </c>
      <c r="J143">
        <v>0</v>
      </c>
      <c r="K143">
        <v>0</v>
      </c>
    </row>
    <row r="144" spans="1:11">
      <c r="A144">
        <v>96196</v>
      </c>
      <c r="B144" t="s">
        <v>665</v>
      </c>
      <c r="C144" t="s">
        <v>666</v>
      </c>
      <c r="E144" t="s">
        <v>489</v>
      </c>
      <c r="F144">
        <v>13</v>
      </c>
      <c r="G144">
        <v>1962</v>
      </c>
      <c r="H144">
        <v>401</v>
      </c>
      <c r="I144">
        <v>7.3140000000000001</v>
      </c>
      <c r="J144">
        <v>305.56200000000001</v>
      </c>
      <c r="K144">
        <v>39</v>
      </c>
    </row>
    <row r="145" spans="1:11">
      <c r="A145">
        <v>21746</v>
      </c>
      <c r="B145" t="s">
        <v>667</v>
      </c>
      <c r="C145" t="s">
        <v>668</v>
      </c>
      <c r="D145" t="s">
        <v>107</v>
      </c>
      <c r="E145" t="s">
        <v>489</v>
      </c>
      <c r="F145">
        <v>13</v>
      </c>
      <c r="G145">
        <v>1990</v>
      </c>
      <c r="H145">
        <v>682</v>
      </c>
      <c r="I145">
        <v>0.65600000000000003</v>
      </c>
      <c r="J145">
        <v>17.251999999999999</v>
      </c>
      <c r="K145">
        <v>0</v>
      </c>
    </row>
    <row r="146" spans="1:11">
      <c r="A146">
        <v>96190</v>
      </c>
      <c r="B146" t="s">
        <v>667</v>
      </c>
      <c r="C146" t="s">
        <v>669</v>
      </c>
      <c r="D146" t="s">
        <v>107</v>
      </c>
      <c r="E146" t="s">
        <v>489</v>
      </c>
      <c r="F146">
        <v>13</v>
      </c>
      <c r="G146">
        <v>1965</v>
      </c>
      <c r="H146">
        <v>618</v>
      </c>
      <c r="I146">
        <v>2</v>
      </c>
      <c r="J146">
        <v>52.576000000000001</v>
      </c>
      <c r="K146">
        <v>0</v>
      </c>
    </row>
    <row r="147" spans="1:11">
      <c r="A147">
        <v>12020</v>
      </c>
      <c r="B147" t="s">
        <v>670</v>
      </c>
      <c r="C147" t="s">
        <v>572</v>
      </c>
      <c r="E147" t="s">
        <v>470</v>
      </c>
      <c r="F147">
        <v>20</v>
      </c>
      <c r="G147">
        <v>1962</v>
      </c>
      <c r="H147">
        <v>36</v>
      </c>
      <c r="I147">
        <v>51.75</v>
      </c>
      <c r="J147">
        <v>2814.4070000000002</v>
      </c>
      <c r="K147">
        <v>1024</v>
      </c>
    </row>
    <row r="148" spans="1:11">
      <c r="A148">
        <v>13044</v>
      </c>
      <c r="B148" t="s">
        <v>1213</v>
      </c>
      <c r="C148" t="s">
        <v>539</v>
      </c>
      <c r="D148" t="s">
        <v>107</v>
      </c>
      <c r="E148" t="s">
        <v>470</v>
      </c>
      <c r="F148">
        <v>20</v>
      </c>
      <c r="G148">
        <v>1962</v>
      </c>
      <c r="H148">
        <v>65</v>
      </c>
      <c r="I148">
        <v>36.094000000000001</v>
      </c>
      <c r="J148">
        <v>2261.36</v>
      </c>
      <c r="K148">
        <v>692</v>
      </c>
    </row>
    <row r="149" spans="1:11">
      <c r="A149">
        <v>16142</v>
      </c>
      <c r="B149" t="s">
        <v>1439</v>
      </c>
      <c r="C149" t="s">
        <v>679</v>
      </c>
      <c r="E149" t="s">
        <v>475</v>
      </c>
      <c r="F149">
        <v>63</v>
      </c>
      <c r="G149">
        <v>1975</v>
      </c>
      <c r="H149">
        <v>380</v>
      </c>
      <c r="I149">
        <v>9.4380000000000006</v>
      </c>
      <c r="J149">
        <v>341.70699999999999</v>
      </c>
      <c r="K149">
        <v>0</v>
      </c>
    </row>
    <row r="150" spans="1:11">
      <c r="A150">
        <v>11046</v>
      </c>
      <c r="B150" t="s">
        <v>671</v>
      </c>
      <c r="C150" t="s">
        <v>627</v>
      </c>
      <c r="E150" t="s">
        <v>170</v>
      </c>
      <c r="F150">
        <v>14</v>
      </c>
      <c r="G150">
        <v>1985</v>
      </c>
      <c r="H150">
        <v>45</v>
      </c>
      <c r="I150">
        <v>36.125</v>
      </c>
      <c r="J150">
        <v>2682.0259999999998</v>
      </c>
      <c r="K150">
        <v>1177</v>
      </c>
    </row>
    <row r="151" spans="1:11">
      <c r="A151">
        <v>29060</v>
      </c>
      <c r="B151" t="s">
        <v>672</v>
      </c>
      <c r="C151" t="s">
        <v>1440</v>
      </c>
      <c r="E151" t="s">
        <v>495</v>
      </c>
      <c r="F151">
        <v>64</v>
      </c>
      <c r="G151">
        <v>1981</v>
      </c>
      <c r="H151">
        <v>349</v>
      </c>
      <c r="I151">
        <v>8.6880000000000006</v>
      </c>
      <c r="J151">
        <v>404.32799999999997</v>
      </c>
      <c r="K151">
        <v>72</v>
      </c>
    </row>
    <row r="152" spans="1:11">
      <c r="A152">
        <v>13062</v>
      </c>
      <c r="B152" t="s">
        <v>1214</v>
      </c>
      <c r="C152" t="s">
        <v>967</v>
      </c>
      <c r="E152" t="s">
        <v>1205</v>
      </c>
      <c r="F152">
        <v>74</v>
      </c>
      <c r="G152">
        <v>1951</v>
      </c>
      <c r="H152">
        <v>373</v>
      </c>
      <c r="I152">
        <v>8.1259999999999994</v>
      </c>
      <c r="J152">
        <v>351.185</v>
      </c>
      <c r="K152">
        <v>49</v>
      </c>
    </row>
    <row r="153" spans="1:11">
      <c r="A153">
        <v>12068</v>
      </c>
      <c r="B153" t="s">
        <v>1214</v>
      </c>
      <c r="C153" t="s">
        <v>572</v>
      </c>
      <c r="E153" t="s">
        <v>1205</v>
      </c>
      <c r="F153">
        <v>74</v>
      </c>
      <c r="G153">
        <v>1974</v>
      </c>
      <c r="H153">
        <v>372</v>
      </c>
      <c r="I153">
        <v>8.1259999999999994</v>
      </c>
      <c r="J153">
        <v>351.185</v>
      </c>
      <c r="K153">
        <v>49</v>
      </c>
    </row>
    <row r="154" spans="1:11">
      <c r="A154">
        <v>16034</v>
      </c>
      <c r="B154" t="s">
        <v>1441</v>
      </c>
      <c r="C154" t="s">
        <v>572</v>
      </c>
      <c r="E154" t="s">
        <v>155</v>
      </c>
      <c r="F154">
        <v>22</v>
      </c>
      <c r="G154">
        <v>1970</v>
      </c>
      <c r="H154">
        <v>730</v>
      </c>
      <c r="I154">
        <v>0</v>
      </c>
      <c r="J154">
        <v>0</v>
      </c>
      <c r="K154">
        <v>0</v>
      </c>
    </row>
    <row r="155" spans="1:11">
      <c r="A155">
        <v>23131</v>
      </c>
      <c r="B155" t="s">
        <v>674</v>
      </c>
      <c r="C155" t="s">
        <v>584</v>
      </c>
      <c r="E155" t="s">
        <v>163</v>
      </c>
      <c r="F155">
        <v>43</v>
      </c>
      <c r="G155">
        <v>1954</v>
      </c>
      <c r="H155">
        <v>96</v>
      </c>
      <c r="I155">
        <v>24.812999999999999</v>
      </c>
      <c r="J155">
        <v>1936.0809999999999</v>
      </c>
      <c r="K155">
        <v>843</v>
      </c>
    </row>
    <row r="156" spans="1:11">
      <c r="A156">
        <v>11010</v>
      </c>
      <c r="B156" t="s">
        <v>675</v>
      </c>
      <c r="C156" t="s">
        <v>564</v>
      </c>
      <c r="E156" t="s">
        <v>1195</v>
      </c>
      <c r="F156">
        <v>44</v>
      </c>
      <c r="G156">
        <v>1992</v>
      </c>
      <c r="H156">
        <v>121</v>
      </c>
      <c r="I156">
        <v>16.282</v>
      </c>
      <c r="J156">
        <v>1718.1110000000001</v>
      </c>
      <c r="K156">
        <v>952</v>
      </c>
    </row>
    <row r="157" spans="1:11">
      <c r="A157">
        <v>11009</v>
      </c>
      <c r="B157" t="s">
        <v>675</v>
      </c>
      <c r="C157" t="s">
        <v>535</v>
      </c>
      <c r="E157" t="s">
        <v>1195</v>
      </c>
      <c r="F157">
        <v>44</v>
      </c>
      <c r="G157">
        <v>1959</v>
      </c>
      <c r="H157">
        <v>53</v>
      </c>
      <c r="I157">
        <v>33.5</v>
      </c>
      <c r="J157">
        <v>2432.4229999999998</v>
      </c>
      <c r="K157">
        <v>1153</v>
      </c>
    </row>
    <row r="158" spans="1:11">
      <c r="A158">
        <v>22017</v>
      </c>
      <c r="B158" t="s">
        <v>676</v>
      </c>
      <c r="C158" t="s">
        <v>677</v>
      </c>
      <c r="E158" t="s">
        <v>198</v>
      </c>
      <c r="F158">
        <v>17</v>
      </c>
      <c r="G158">
        <v>1970</v>
      </c>
      <c r="H158">
        <v>200</v>
      </c>
      <c r="I158">
        <v>11.375999999999999</v>
      </c>
      <c r="J158">
        <v>1078.6500000000001</v>
      </c>
      <c r="K158">
        <v>514</v>
      </c>
    </row>
    <row r="159" spans="1:11">
      <c r="A159">
        <v>12001</v>
      </c>
      <c r="B159" t="s">
        <v>676</v>
      </c>
      <c r="C159" t="s">
        <v>678</v>
      </c>
      <c r="D159" t="s">
        <v>91</v>
      </c>
      <c r="E159" t="s">
        <v>198</v>
      </c>
      <c r="F159">
        <v>17</v>
      </c>
      <c r="G159">
        <v>2003</v>
      </c>
      <c r="H159">
        <v>731</v>
      </c>
      <c r="I159">
        <v>0</v>
      </c>
      <c r="J159">
        <v>0</v>
      </c>
      <c r="K159">
        <v>0</v>
      </c>
    </row>
    <row r="160" spans="1:11">
      <c r="A160">
        <v>13037</v>
      </c>
      <c r="B160" t="s">
        <v>1215</v>
      </c>
      <c r="C160" t="s">
        <v>535</v>
      </c>
      <c r="E160" t="s">
        <v>172</v>
      </c>
      <c r="F160">
        <v>48</v>
      </c>
      <c r="G160">
        <v>1964</v>
      </c>
      <c r="H160">
        <v>434</v>
      </c>
      <c r="I160">
        <v>4.6100000000000003</v>
      </c>
      <c r="J160">
        <v>241.20699999999999</v>
      </c>
      <c r="K160">
        <v>66</v>
      </c>
    </row>
    <row r="161" spans="1:11">
      <c r="A161">
        <v>21845</v>
      </c>
      <c r="B161" t="s">
        <v>1442</v>
      </c>
      <c r="C161" t="s">
        <v>872</v>
      </c>
      <c r="E161" t="s">
        <v>497</v>
      </c>
      <c r="F161">
        <v>51</v>
      </c>
      <c r="G161">
        <v>1958</v>
      </c>
      <c r="H161">
        <v>732</v>
      </c>
      <c r="I161">
        <v>0</v>
      </c>
      <c r="J161">
        <v>0</v>
      </c>
      <c r="K161">
        <v>0</v>
      </c>
    </row>
    <row r="162" spans="1:11">
      <c r="A162">
        <v>12086</v>
      </c>
      <c r="B162" t="s">
        <v>1216</v>
      </c>
      <c r="C162" t="s">
        <v>564</v>
      </c>
      <c r="E162" t="s">
        <v>495</v>
      </c>
      <c r="F162">
        <v>64</v>
      </c>
      <c r="G162">
        <v>1976</v>
      </c>
      <c r="H162">
        <v>51</v>
      </c>
      <c r="I162">
        <v>35</v>
      </c>
      <c r="J162">
        <v>2484.337</v>
      </c>
      <c r="K162">
        <v>1373</v>
      </c>
    </row>
    <row r="163" spans="1:11">
      <c r="A163">
        <v>16120</v>
      </c>
      <c r="B163" t="s">
        <v>1216</v>
      </c>
      <c r="C163" t="s">
        <v>649</v>
      </c>
      <c r="D163" t="s">
        <v>91</v>
      </c>
      <c r="E163" t="s">
        <v>1343</v>
      </c>
      <c r="F163">
        <v>79</v>
      </c>
      <c r="G163">
        <v>2009</v>
      </c>
      <c r="H163">
        <v>490</v>
      </c>
      <c r="I163">
        <v>4.1260000000000003</v>
      </c>
      <c r="J163">
        <v>166.053</v>
      </c>
      <c r="K163">
        <v>0</v>
      </c>
    </row>
    <row r="164" spans="1:11">
      <c r="A164">
        <v>16147</v>
      </c>
      <c r="B164" t="s">
        <v>1216</v>
      </c>
      <c r="C164" t="s">
        <v>534</v>
      </c>
      <c r="E164" t="s">
        <v>495</v>
      </c>
      <c r="F164">
        <v>64</v>
      </c>
      <c r="G164">
        <v>1987</v>
      </c>
      <c r="H164">
        <v>577</v>
      </c>
      <c r="I164">
        <v>2.0630000000000002</v>
      </c>
      <c r="J164">
        <v>82.715000000000003</v>
      </c>
      <c r="K164">
        <v>0</v>
      </c>
    </row>
    <row r="165" spans="1:11">
      <c r="A165">
        <v>14074</v>
      </c>
      <c r="B165" t="s">
        <v>1443</v>
      </c>
      <c r="C165" t="s">
        <v>610</v>
      </c>
      <c r="D165" t="s">
        <v>107</v>
      </c>
      <c r="E165" t="s">
        <v>470</v>
      </c>
      <c r="F165">
        <v>20</v>
      </c>
      <c r="G165">
        <v>1974</v>
      </c>
      <c r="H165">
        <v>126</v>
      </c>
      <c r="I165">
        <v>28.876000000000001</v>
      </c>
      <c r="J165">
        <v>1673.3610000000001</v>
      </c>
      <c r="K165">
        <v>536</v>
      </c>
    </row>
    <row r="166" spans="1:11">
      <c r="A166">
        <v>14075</v>
      </c>
      <c r="B166" t="s">
        <v>1443</v>
      </c>
      <c r="C166" t="s">
        <v>629</v>
      </c>
      <c r="D166" t="s">
        <v>107</v>
      </c>
      <c r="E166" t="s">
        <v>470</v>
      </c>
      <c r="F166">
        <v>20</v>
      </c>
      <c r="G166">
        <v>1999</v>
      </c>
      <c r="H166">
        <v>21</v>
      </c>
      <c r="I166">
        <v>44.75</v>
      </c>
      <c r="J166">
        <v>3170.0230000000001</v>
      </c>
      <c r="K166">
        <v>1268</v>
      </c>
    </row>
    <row r="167" spans="1:11">
      <c r="A167">
        <v>16013</v>
      </c>
      <c r="B167" t="s">
        <v>1444</v>
      </c>
      <c r="C167" t="s">
        <v>572</v>
      </c>
      <c r="E167" t="s">
        <v>1343</v>
      </c>
      <c r="F167">
        <v>79</v>
      </c>
      <c r="G167">
        <v>1988</v>
      </c>
      <c r="H167">
        <v>733</v>
      </c>
      <c r="I167">
        <v>0</v>
      </c>
      <c r="J167">
        <v>0</v>
      </c>
      <c r="K167">
        <v>0</v>
      </c>
    </row>
    <row r="168" spans="1:11">
      <c r="A168">
        <v>10034</v>
      </c>
      <c r="B168" t="s">
        <v>680</v>
      </c>
      <c r="C168" t="s">
        <v>551</v>
      </c>
      <c r="E168" t="s">
        <v>681</v>
      </c>
      <c r="F168">
        <v>68</v>
      </c>
      <c r="G168">
        <v>1959</v>
      </c>
      <c r="H168">
        <v>369</v>
      </c>
      <c r="I168">
        <v>3.5939999999999999</v>
      </c>
      <c r="J168">
        <v>357.08300000000003</v>
      </c>
      <c r="K168">
        <v>188</v>
      </c>
    </row>
    <row r="169" spans="1:11">
      <c r="A169">
        <v>10035</v>
      </c>
      <c r="B169" t="s">
        <v>682</v>
      </c>
      <c r="C169" t="s">
        <v>684</v>
      </c>
      <c r="D169" t="s">
        <v>107</v>
      </c>
      <c r="E169" t="s">
        <v>681</v>
      </c>
      <c r="F169">
        <v>68</v>
      </c>
      <c r="G169">
        <v>1959</v>
      </c>
      <c r="H169">
        <v>734</v>
      </c>
      <c r="I169">
        <v>0</v>
      </c>
      <c r="J169">
        <v>0</v>
      </c>
      <c r="K169">
        <v>0</v>
      </c>
    </row>
    <row r="170" spans="1:11">
      <c r="A170">
        <v>24218</v>
      </c>
      <c r="B170" t="s">
        <v>685</v>
      </c>
      <c r="C170" t="s">
        <v>572</v>
      </c>
      <c r="E170" t="s">
        <v>497</v>
      </c>
      <c r="F170">
        <v>51</v>
      </c>
      <c r="G170">
        <v>1969</v>
      </c>
      <c r="H170">
        <v>20</v>
      </c>
      <c r="I170">
        <v>39.813000000000002</v>
      </c>
      <c r="J170">
        <v>3178.8139999999999</v>
      </c>
      <c r="K170">
        <v>1320</v>
      </c>
    </row>
    <row r="171" spans="1:11">
      <c r="A171">
        <v>10069</v>
      </c>
      <c r="B171" t="s">
        <v>686</v>
      </c>
      <c r="C171" t="s">
        <v>543</v>
      </c>
      <c r="E171" t="s">
        <v>1196</v>
      </c>
      <c r="F171">
        <v>61</v>
      </c>
      <c r="G171">
        <v>1983</v>
      </c>
      <c r="H171">
        <v>237</v>
      </c>
      <c r="I171">
        <v>13.314</v>
      </c>
      <c r="J171">
        <v>844.87099999999998</v>
      </c>
      <c r="K171">
        <v>293</v>
      </c>
    </row>
    <row r="172" spans="1:11">
      <c r="A172">
        <v>15032</v>
      </c>
      <c r="B172" t="s">
        <v>1445</v>
      </c>
      <c r="C172" t="s">
        <v>736</v>
      </c>
      <c r="E172" t="s">
        <v>576</v>
      </c>
      <c r="F172">
        <v>73</v>
      </c>
      <c r="G172">
        <v>1942</v>
      </c>
      <c r="H172">
        <v>360</v>
      </c>
      <c r="I172">
        <v>7.556</v>
      </c>
      <c r="J172">
        <v>376.642</v>
      </c>
      <c r="K172">
        <v>68</v>
      </c>
    </row>
    <row r="173" spans="1:11">
      <c r="A173">
        <v>15031</v>
      </c>
      <c r="B173" t="s">
        <v>1446</v>
      </c>
      <c r="C173" t="s">
        <v>777</v>
      </c>
      <c r="D173" t="s">
        <v>107</v>
      </c>
      <c r="E173" t="s">
        <v>576</v>
      </c>
      <c r="F173">
        <v>73</v>
      </c>
      <c r="G173">
        <v>1947</v>
      </c>
      <c r="H173">
        <v>310</v>
      </c>
      <c r="I173">
        <v>8.9619999999999997</v>
      </c>
      <c r="J173">
        <v>537.71699999999998</v>
      </c>
      <c r="K173">
        <v>152</v>
      </c>
    </row>
    <row r="174" spans="1:11">
      <c r="A174">
        <v>97290</v>
      </c>
      <c r="B174" t="s">
        <v>687</v>
      </c>
      <c r="C174" t="s">
        <v>564</v>
      </c>
      <c r="E174" t="s">
        <v>156</v>
      </c>
      <c r="F174">
        <v>6</v>
      </c>
      <c r="G174">
        <v>1970</v>
      </c>
      <c r="H174">
        <v>508</v>
      </c>
      <c r="I174">
        <v>4.75</v>
      </c>
      <c r="J174">
        <v>146.91900000000001</v>
      </c>
      <c r="K174">
        <v>0</v>
      </c>
    </row>
    <row r="175" spans="1:11">
      <c r="A175">
        <v>16056</v>
      </c>
      <c r="B175" t="s">
        <v>1447</v>
      </c>
      <c r="C175" t="s">
        <v>575</v>
      </c>
      <c r="E175" t="s">
        <v>1388</v>
      </c>
      <c r="F175">
        <v>82</v>
      </c>
      <c r="G175">
        <v>1966</v>
      </c>
      <c r="H175">
        <v>495</v>
      </c>
      <c r="I175">
        <v>3.3439999999999999</v>
      </c>
      <c r="J175">
        <v>161.12100000000001</v>
      </c>
      <c r="K175">
        <v>31</v>
      </c>
    </row>
    <row r="176" spans="1:11">
      <c r="A176">
        <v>12056</v>
      </c>
      <c r="B176" t="s">
        <v>688</v>
      </c>
      <c r="C176" t="s">
        <v>564</v>
      </c>
      <c r="E176" t="s">
        <v>477</v>
      </c>
      <c r="F176">
        <v>27</v>
      </c>
      <c r="G176">
        <v>1980</v>
      </c>
      <c r="H176">
        <v>220</v>
      </c>
      <c r="I176">
        <v>12.11</v>
      </c>
      <c r="J176">
        <v>942.15</v>
      </c>
      <c r="K176">
        <v>395</v>
      </c>
    </row>
    <row r="177" spans="1:11">
      <c r="A177">
        <v>10008</v>
      </c>
      <c r="B177" t="s">
        <v>689</v>
      </c>
      <c r="C177" t="s">
        <v>690</v>
      </c>
      <c r="E177" t="s">
        <v>1207</v>
      </c>
      <c r="F177">
        <v>66</v>
      </c>
      <c r="G177">
        <v>1968</v>
      </c>
      <c r="H177">
        <v>598</v>
      </c>
      <c r="I177">
        <v>2.2810000000000001</v>
      </c>
      <c r="J177">
        <v>70.105999999999995</v>
      </c>
      <c r="K177">
        <v>0</v>
      </c>
    </row>
    <row r="178" spans="1:11">
      <c r="A178">
        <v>13048</v>
      </c>
      <c r="B178" t="s">
        <v>1217</v>
      </c>
      <c r="C178" t="s">
        <v>684</v>
      </c>
      <c r="D178" t="s">
        <v>107</v>
      </c>
      <c r="E178" t="s">
        <v>1207</v>
      </c>
      <c r="F178">
        <v>66</v>
      </c>
      <c r="G178">
        <v>1970</v>
      </c>
      <c r="H178">
        <v>735</v>
      </c>
      <c r="I178">
        <v>0</v>
      </c>
      <c r="J178">
        <v>0</v>
      </c>
      <c r="K178">
        <v>0</v>
      </c>
    </row>
    <row r="179" spans="1:11">
      <c r="A179">
        <v>13070</v>
      </c>
      <c r="B179" t="s">
        <v>1448</v>
      </c>
      <c r="C179" t="s">
        <v>1245</v>
      </c>
      <c r="D179" t="s">
        <v>107</v>
      </c>
      <c r="E179" t="s">
        <v>570</v>
      </c>
      <c r="F179">
        <v>16</v>
      </c>
      <c r="G179">
        <v>1981</v>
      </c>
      <c r="H179">
        <v>351</v>
      </c>
      <c r="I179">
        <v>5.782</v>
      </c>
      <c r="J179">
        <v>395.34100000000001</v>
      </c>
      <c r="K179">
        <v>141</v>
      </c>
    </row>
    <row r="180" spans="1:11">
      <c r="A180">
        <v>16072</v>
      </c>
      <c r="B180" t="s">
        <v>1449</v>
      </c>
      <c r="C180" t="s">
        <v>636</v>
      </c>
      <c r="D180" t="s">
        <v>107</v>
      </c>
      <c r="E180" t="s">
        <v>1419</v>
      </c>
      <c r="F180">
        <v>84</v>
      </c>
      <c r="G180">
        <v>1947</v>
      </c>
      <c r="H180">
        <v>297</v>
      </c>
      <c r="I180">
        <v>13.564</v>
      </c>
      <c r="J180">
        <v>587.30200000000002</v>
      </c>
      <c r="K180">
        <v>37</v>
      </c>
    </row>
    <row r="181" spans="1:11">
      <c r="A181">
        <v>14101</v>
      </c>
      <c r="B181" t="s">
        <v>1450</v>
      </c>
      <c r="C181" t="s">
        <v>564</v>
      </c>
      <c r="E181" t="s">
        <v>495</v>
      </c>
      <c r="F181">
        <v>64</v>
      </c>
      <c r="G181">
        <v>1968</v>
      </c>
      <c r="H181">
        <v>736</v>
      </c>
      <c r="I181">
        <v>0</v>
      </c>
      <c r="J181">
        <v>0</v>
      </c>
      <c r="K181">
        <v>0</v>
      </c>
    </row>
    <row r="182" spans="1:11">
      <c r="A182">
        <v>28053</v>
      </c>
      <c r="B182" t="s">
        <v>691</v>
      </c>
      <c r="C182" t="s">
        <v>692</v>
      </c>
      <c r="E182" t="s">
        <v>163</v>
      </c>
      <c r="F182">
        <v>43</v>
      </c>
      <c r="G182">
        <v>1975</v>
      </c>
      <c r="H182">
        <v>737</v>
      </c>
      <c r="I182">
        <v>0</v>
      </c>
      <c r="J182">
        <v>0</v>
      </c>
      <c r="K182">
        <v>0</v>
      </c>
    </row>
    <row r="183" spans="1:11">
      <c r="A183">
        <v>96162</v>
      </c>
      <c r="B183" t="s">
        <v>693</v>
      </c>
      <c r="C183" t="s">
        <v>595</v>
      </c>
      <c r="E183" t="s">
        <v>1218</v>
      </c>
      <c r="F183">
        <v>5</v>
      </c>
      <c r="G183">
        <v>1963</v>
      </c>
      <c r="H183">
        <v>397</v>
      </c>
      <c r="I183">
        <v>10.109</v>
      </c>
      <c r="J183">
        <v>311.81</v>
      </c>
      <c r="K183">
        <v>0</v>
      </c>
    </row>
    <row r="184" spans="1:11">
      <c r="A184">
        <v>96163</v>
      </c>
      <c r="B184" t="s">
        <v>694</v>
      </c>
      <c r="C184" t="s">
        <v>695</v>
      </c>
      <c r="D184" t="s">
        <v>107</v>
      </c>
      <c r="E184" t="s">
        <v>1218</v>
      </c>
      <c r="F184">
        <v>5</v>
      </c>
      <c r="G184">
        <v>1963</v>
      </c>
      <c r="H184">
        <v>422</v>
      </c>
      <c r="I184">
        <v>8.609</v>
      </c>
      <c r="J184">
        <v>263.72399999999999</v>
      </c>
      <c r="K184">
        <v>0</v>
      </c>
    </row>
    <row r="185" spans="1:11">
      <c r="A185">
        <v>11050</v>
      </c>
      <c r="B185" t="s">
        <v>696</v>
      </c>
      <c r="C185" t="s">
        <v>610</v>
      </c>
      <c r="D185" t="s">
        <v>107</v>
      </c>
      <c r="E185" t="s">
        <v>470</v>
      </c>
      <c r="F185">
        <v>20</v>
      </c>
      <c r="G185">
        <v>1976</v>
      </c>
      <c r="H185">
        <v>205</v>
      </c>
      <c r="I185">
        <v>20.577999999999999</v>
      </c>
      <c r="J185">
        <v>1037.944</v>
      </c>
      <c r="K185">
        <v>202</v>
      </c>
    </row>
    <row r="186" spans="1:11">
      <c r="A186">
        <v>96217</v>
      </c>
      <c r="B186" t="s">
        <v>696</v>
      </c>
      <c r="C186" t="s">
        <v>697</v>
      </c>
      <c r="E186" t="s">
        <v>470</v>
      </c>
      <c r="F186">
        <v>20</v>
      </c>
      <c r="G186">
        <v>1949</v>
      </c>
      <c r="H186">
        <v>93</v>
      </c>
      <c r="I186">
        <v>33</v>
      </c>
      <c r="J186">
        <v>1957.2</v>
      </c>
      <c r="K186">
        <v>867</v>
      </c>
    </row>
    <row r="187" spans="1:11">
      <c r="A187">
        <v>25054</v>
      </c>
      <c r="B187" t="s">
        <v>698</v>
      </c>
      <c r="C187" t="s">
        <v>564</v>
      </c>
      <c r="E187" t="s">
        <v>1167</v>
      </c>
      <c r="F187">
        <v>56</v>
      </c>
      <c r="G187">
        <v>1953</v>
      </c>
      <c r="H187">
        <v>110</v>
      </c>
      <c r="I187">
        <v>24.189</v>
      </c>
      <c r="J187">
        <v>1796.2860000000001</v>
      </c>
      <c r="K187">
        <v>742</v>
      </c>
    </row>
    <row r="188" spans="1:11">
      <c r="A188">
        <v>26022</v>
      </c>
      <c r="B188" t="s">
        <v>698</v>
      </c>
      <c r="C188" t="s">
        <v>543</v>
      </c>
      <c r="E188" t="s">
        <v>1167</v>
      </c>
      <c r="F188">
        <v>56</v>
      </c>
      <c r="G188">
        <v>1976</v>
      </c>
      <c r="H188">
        <v>505</v>
      </c>
      <c r="I188">
        <v>3.6880000000000002</v>
      </c>
      <c r="J188">
        <v>148.72999999999999</v>
      </c>
      <c r="K188">
        <v>0</v>
      </c>
    </row>
    <row r="189" spans="1:11">
      <c r="A189">
        <v>28006</v>
      </c>
      <c r="B189" t="s">
        <v>699</v>
      </c>
      <c r="C189" t="s">
        <v>564</v>
      </c>
      <c r="E189" t="s">
        <v>1167</v>
      </c>
      <c r="F189">
        <v>56</v>
      </c>
      <c r="G189">
        <v>1992</v>
      </c>
      <c r="H189">
        <v>16</v>
      </c>
      <c r="I189">
        <v>37.438000000000002</v>
      </c>
      <c r="J189">
        <v>3299.2460000000001</v>
      </c>
      <c r="K189">
        <v>1650</v>
      </c>
    </row>
    <row r="190" spans="1:11">
      <c r="A190">
        <v>14021</v>
      </c>
      <c r="B190" t="s">
        <v>699</v>
      </c>
      <c r="C190" t="s">
        <v>700</v>
      </c>
      <c r="E190" t="s">
        <v>216</v>
      </c>
      <c r="F190">
        <v>33</v>
      </c>
      <c r="G190">
        <v>1969</v>
      </c>
      <c r="H190">
        <v>738</v>
      </c>
      <c r="I190">
        <v>0</v>
      </c>
      <c r="J190">
        <v>0</v>
      </c>
      <c r="K190">
        <v>0</v>
      </c>
    </row>
    <row r="191" spans="1:11">
      <c r="A191">
        <v>11019</v>
      </c>
      <c r="B191" t="s">
        <v>701</v>
      </c>
      <c r="C191" t="s">
        <v>534</v>
      </c>
      <c r="E191" t="s">
        <v>623</v>
      </c>
      <c r="F191">
        <v>45</v>
      </c>
      <c r="G191">
        <v>1950</v>
      </c>
      <c r="H191">
        <v>739</v>
      </c>
      <c r="I191">
        <v>0</v>
      </c>
      <c r="J191">
        <v>0</v>
      </c>
      <c r="K191">
        <v>0</v>
      </c>
    </row>
    <row r="192" spans="1:11">
      <c r="A192">
        <v>16073</v>
      </c>
      <c r="B192" t="s">
        <v>701</v>
      </c>
      <c r="C192" t="s">
        <v>572</v>
      </c>
      <c r="E192" t="s">
        <v>1419</v>
      </c>
      <c r="F192">
        <v>84</v>
      </c>
      <c r="G192">
        <v>1948</v>
      </c>
      <c r="H192">
        <v>484</v>
      </c>
      <c r="I192">
        <v>2.157</v>
      </c>
      <c r="J192">
        <v>176.078</v>
      </c>
      <c r="K192">
        <v>76</v>
      </c>
    </row>
    <row r="193" spans="1:11">
      <c r="A193">
        <v>16074</v>
      </c>
      <c r="B193" t="s">
        <v>1451</v>
      </c>
      <c r="C193" t="s">
        <v>636</v>
      </c>
      <c r="D193" t="s">
        <v>107</v>
      </c>
      <c r="E193" t="s">
        <v>1419</v>
      </c>
      <c r="F193">
        <v>84</v>
      </c>
      <c r="G193">
        <v>1950</v>
      </c>
      <c r="H193">
        <v>517</v>
      </c>
      <c r="I193">
        <v>1.6259999999999999</v>
      </c>
      <c r="J193">
        <v>133.52000000000001</v>
      </c>
      <c r="K193">
        <v>58</v>
      </c>
    </row>
    <row r="194" spans="1:11">
      <c r="A194">
        <v>15059</v>
      </c>
      <c r="B194" t="s">
        <v>1452</v>
      </c>
      <c r="C194" t="s">
        <v>597</v>
      </c>
      <c r="E194" t="s">
        <v>472</v>
      </c>
      <c r="F194">
        <v>54</v>
      </c>
      <c r="G194">
        <v>1959</v>
      </c>
      <c r="H194">
        <v>153</v>
      </c>
      <c r="I194">
        <v>18.032</v>
      </c>
      <c r="J194">
        <v>1388</v>
      </c>
      <c r="K194">
        <v>578</v>
      </c>
    </row>
    <row r="195" spans="1:11">
      <c r="A195">
        <v>99594</v>
      </c>
      <c r="B195" t="s">
        <v>702</v>
      </c>
      <c r="C195" t="s">
        <v>534</v>
      </c>
      <c r="E195" t="s">
        <v>200</v>
      </c>
      <c r="F195">
        <v>19</v>
      </c>
      <c r="G195">
        <v>1960</v>
      </c>
      <c r="H195">
        <v>740</v>
      </c>
      <c r="I195">
        <v>0</v>
      </c>
      <c r="J195">
        <v>0</v>
      </c>
      <c r="K195">
        <v>0</v>
      </c>
    </row>
    <row r="196" spans="1:11">
      <c r="A196">
        <v>15024</v>
      </c>
      <c r="B196" t="s">
        <v>1453</v>
      </c>
      <c r="C196" t="s">
        <v>1454</v>
      </c>
      <c r="E196" t="s">
        <v>582</v>
      </c>
      <c r="F196">
        <v>67</v>
      </c>
      <c r="G196">
        <v>1959</v>
      </c>
      <c r="H196">
        <v>651</v>
      </c>
      <c r="I196">
        <v>0.875</v>
      </c>
      <c r="J196">
        <v>32.183</v>
      </c>
      <c r="K196">
        <v>0</v>
      </c>
    </row>
    <row r="197" spans="1:11">
      <c r="A197">
        <v>24309</v>
      </c>
      <c r="B197" t="s">
        <v>703</v>
      </c>
      <c r="C197" t="s">
        <v>558</v>
      </c>
      <c r="E197" t="s">
        <v>172</v>
      </c>
      <c r="F197">
        <v>48</v>
      </c>
      <c r="G197">
        <v>1985</v>
      </c>
      <c r="H197">
        <v>48</v>
      </c>
      <c r="I197">
        <v>30.75</v>
      </c>
      <c r="J197">
        <v>2586.1779999999999</v>
      </c>
      <c r="K197">
        <v>1117</v>
      </c>
    </row>
    <row r="198" spans="1:11">
      <c r="A198">
        <v>24311</v>
      </c>
      <c r="B198" t="s">
        <v>703</v>
      </c>
      <c r="C198" t="s">
        <v>572</v>
      </c>
      <c r="E198" t="s">
        <v>172</v>
      </c>
      <c r="F198">
        <v>48</v>
      </c>
      <c r="G198">
        <v>1989</v>
      </c>
      <c r="H198">
        <v>741</v>
      </c>
      <c r="I198">
        <v>0</v>
      </c>
      <c r="J198">
        <v>0</v>
      </c>
      <c r="K198">
        <v>0</v>
      </c>
    </row>
    <row r="199" spans="1:11">
      <c r="A199">
        <v>13075</v>
      </c>
      <c r="B199" t="s">
        <v>1455</v>
      </c>
      <c r="C199" t="s">
        <v>935</v>
      </c>
      <c r="D199" t="s">
        <v>107</v>
      </c>
      <c r="E199" t="s">
        <v>172</v>
      </c>
      <c r="F199">
        <v>48</v>
      </c>
      <c r="G199">
        <v>1986</v>
      </c>
      <c r="H199">
        <v>535</v>
      </c>
      <c r="I199">
        <v>2.75</v>
      </c>
      <c r="J199">
        <v>115.297</v>
      </c>
      <c r="K199">
        <v>0</v>
      </c>
    </row>
    <row r="200" spans="1:11">
      <c r="A200">
        <v>16020</v>
      </c>
      <c r="B200" t="s">
        <v>1456</v>
      </c>
      <c r="C200" t="s">
        <v>597</v>
      </c>
      <c r="E200" t="s">
        <v>623</v>
      </c>
      <c r="F200">
        <v>45</v>
      </c>
      <c r="G200">
        <v>1968</v>
      </c>
      <c r="H200">
        <v>493</v>
      </c>
      <c r="I200">
        <v>3.375</v>
      </c>
      <c r="J200">
        <v>163.13399999999999</v>
      </c>
      <c r="K200">
        <v>0</v>
      </c>
    </row>
    <row r="201" spans="1:11">
      <c r="A201">
        <v>15027</v>
      </c>
      <c r="B201" t="s">
        <v>1457</v>
      </c>
      <c r="C201" t="s">
        <v>584</v>
      </c>
      <c r="E201" t="s">
        <v>576</v>
      </c>
      <c r="F201">
        <v>73</v>
      </c>
      <c r="G201">
        <v>1951</v>
      </c>
      <c r="H201">
        <v>524</v>
      </c>
      <c r="I201">
        <v>3.5630000000000002</v>
      </c>
      <c r="J201">
        <v>125.267</v>
      </c>
      <c r="K201">
        <v>0</v>
      </c>
    </row>
    <row r="202" spans="1:11">
      <c r="A202">
        <v>10021</v>
      </c>
      <c r="B202" t="s">
        <v>704</v>
      </c>
      <c r="C202" t="s">
        <v>597</v>
      </c>
      <c r="E202" t="s">
        <v>582</v>
      </c>
      <c r="F202">
        <v>67</v>
      </c>
      <c r="G202">
        <v>1964</v>
      </c>
      <c r="H202">
        <v>453</v>
      </c>
      <c r="I202">
        <v>2.4380000000000002</v>
      </c>
      <c r="J202">
        <v>206.672</v>
      </c>
      <c r="K202">
        <v>102</v>
      </c>
    </row>
    <row r="203" spans="1:11">
      <c r="A203">
        <v>17062</v>
      </c>
      <c r="B203" t="s">
        <v>1458</v>
      </c>
      <c r="C203" t="s">
        <v>627</v>
      </c>
      <c r="D203" t="s">
        <v>91</v>
      </c>
      <c r="E203" t="s">
        <v>1388</v>
      </c>
      <c r="F203">
        <v>82</v>
      </c>
      <c r="G203">
        <v>2004</v>
      </c>
      <c r="H203">
        <v>580</v>
      </c>
      <c r="I203">
        <v>2.032</v>
      </c>
      <c r="J203">
        <v>79.516999999999996</v>
      </c>
      <c r="K203">
        <v>0</v>
      </c>
    </row>
    <row r="204" spans="1:11">
      <c r="A204">
        <v>96108</v>
      </c>
      <c r="B204" t="s">
        <v>1459</v>
      </c>
      <c r="C204" t="s">
        <v>584</v>
      </c>
      <c r="E204" t="s">
        <v>501</v>
      </c>
      <c r="F204">
        <v>1</v>
      </c>
      <c r="G204">
        <v>1967</v>
      </c>
      <c r="H204">
        <v>375</v>
      </c>
      <c r="I204">
        <v>2.6880000000000002</v>
      </c>
      <c r="J204">
        <v>349.89600000000002</v>
      </c>
      <c r="K204">
        <v>213</v>
      </c>
    </row>
    <row r="205" spans="1:11">
      <c r="A205">
        <v>96059</v>
      </c>
      <c r="B205" t="s">
        <v>705</v>
      </c>
      <c r="C205" t="s">
        <v>706</v>
      </c>
      <c r="D205" t="s">
        <v>107</v>
      </c>
      <c r="E205" t="s">
        <v>501</v>
      </c>
      <c r="F205">
        <v>1</v>
      </c>
      <c r="G205">
        <v>1970</v>
      </c>
      <c r="H205">
        <v>106</v>
      </c>
      <c r="I205">
        <v>18.75</v>
      </c>
      <c r="J205">
        <v>1823.06</v>
      </c>
      <c r="K205">
        <v>891</v>
      </c>
    </row>
    <row r="206" spans="1:11">
      <c r="A206">
        <v>98419</v>
      </c>
      <c r="B206" t="s">
        <v>709</v>
      </c>
      <c r="C206" t="s">
        <v>679</v>
      </c>
      <c r="E206" t="s">
        <v>477</v>
      </c>
      <c r="F206">
        <v>27</v>
      </c>
      <c r="G206">
        <v>1952</v>
      </c>
      <c r="H206">
        <v>274</v>
      </c>
      <c r="I206">
        <v>8.3439999999999994</v>
      </c>
      <c r="J206">
        <v>670.86300000000006</v>
      </c>
      <c r="K206">
        <v>293</v>
      </c>
    </row>
    <row r="207" spans="1:11">
      <c r="A207">
        <v>17075</v>
      </c>
      <c r="B207" t="s">
        <v>710</v>
      </c>
      <c r="C207" t="s">
        <v>1460</v>
      </c>
      <c r="D207" t="s">
        <v>655</v>
      </c>
      <c r="E207" t="s">
        <v>477</v>
      </c>
      <c r="F207">
        <v>27</v>
      </c>
      <c r="G207">
        <v>2011</v>
      </c>
      <c r="H207">
        <v>742</v>
      </c>
      <c r="I207">
        <v>0</v>
      </c>
      <c r="J207">
        <v>0</v>
      </c>
      <c r="K207">
        <v>0</v>
      </c>
    </row>
    <row r="208" spans="1:11">
      <c r="A208">
        <v>14006</v>
      </c>
      <c r="B208" t="s">
        <v>1461</v>
      </c>
      <c r="C208" t="s">
        <v>558</v>
      </c>
      <c r="E208" t="s">
        <v>501</v>
      </c>
      <c r="F208">
        <v>1</v>
      </c>
      <c r="G208">
        <v>1970</v>
      </c>
      <c r="H208">
        <v>139</v>
      </c>
      <c r="I208">
        <v>20.314</v>
      </c>
      <c r="J208">
        <v>1534.145</v>
      </c>
      <c r="K208">
        <v>673</v>
      </c>
    </row>
    <row r="209" spans="1:11">
      <c r="A209">
        <v>17032</v>
      </c>
      <c r="B209" t="s">
        <v>1462</v>
      </c>
      <c r="C209" t="s">
        <v>1245</v>
      </c>
      <c r="D209" t="s">
        <v>655</v>
      </c>
      <c r="E209" t="s">
        <v>501</v>
      </c>
      <c r="F209">
        <v>1</v>
      </c>
      <c r="G209">
        <v>2000</v>
      </c>
      <c r="H209">
        <v>613</v>
      </c>
      <c r="I209">
        <v>1.2190000000000001</v>
      </c>
      <c r="J209">
        <v>55.719000000000001</v>
      </c>
      <c r="K209">
        <v>0</v>
      </c>
    </row>
    <row r="210" spans="1:11">
      <c r="A210">
        <v>16103</v>
      </c>
      <c r="B210" t="s">
        <v>1463</v>
      </c>
      <c r="C210" t="s">
        <v>982</v>
      </c>
      <c r="D210" t="s">
        <v>107</v>
      </c>
      <c r="E210" t="s">
        <v>1210</v>
      </c>
      <c r="F210">
        <v>42</v>
      </c>
      <c r="G210">
        <v>1972</v>
      </c>
      <c r="H210">
        <v>611</v>
      </c>
      <c r="I210">
        <v>0.59399999999999997</v>
      </c>
      <c r="J210">
        <v>59.612000000000002</v>
      </c>
      <c r="K210">
        <v>34</v>
      </c>
    </row>
    <row r="211" spans="1:11">
      <c r="A211">
        <v>98423</v>
      </c>
      <c r="B211" t="s">
        <v>711</v>
      </c>
      <c r="C211" t="s">
        <v>551</v>
      </c>
      <c r="E211" t="s">
        <v>477</v>
      </c>
      <c r="F211">
        <v>27</v>
      </c>
      <c r="G211">
        <v>1982</v>
      </c>
      <c r="H211">
        <v>201</v>
      </c>
      <c r="I211">
        <v>14.438000000000001</v>
      </c>
      <c r="J211">
        <v>1076.3599999999999</v>
      </c>
      <c r="K211">
        <v>462</v>
      </c>
    </row>
    <row r="212" spans="1:11">
      <c r="A212">
        <v>21796</v>
      </c>
      <c r="B212" t="s">
        <v>712</v>
      </c>
      <c r="C212" t="s">
        <v>707</v>
      </c>
      <c r="D212" t="s">
        <v>107</v>
      </c>
      <c r="E212" t="s">
        <v>477</v>
      </c>
      <c r="F212">
        <v>27</v>
      </c>
      <c r="G212">
        <v>1992</v>
      </c>
      <c r="H212">
        <v>441</v>
      </c>
      <c r="I212">
        <v>3.1880000000000002</v>
      </c>
      <c r="J212">
        <v>223.64699999999999</v>
      </c>
      <c r="K212">
        <v>75</v>
      </c>
    </row>
    <row r="213" spans="1:11">
      <c r="A213">
        <v>99500</v>
      </c>
      <c r="B213" t="s">
        <v>712</v>
      </c>
      <c r="C213" t="s">
        <v>713</v>
      </c>
      <c r="D213" t="s">
        <v>107</v>
      </c>
      <c r="E213" t="s">
        <v>477</v>
      </c>
      <c r="F213">
        <v>27</v>
      </c>
      <c r="G213">
        <v>1962</v>
      </c>
      <c r="H213">
        <v>339</v>
      </c>
      <c r="I213">
        <v>5.625</v>
      </c>
      <c r="J213">
        <v>435.82100000000003</v>
      </c>
      <c r="K213">
        <v>174</v>
      </c>
    </row>
    <row r="214" spans="1:11">
      <c r="A214">
        <v>98477</v>
      </c>
      <c r="B214" t="s">
        <v>714</v>
      </c>
      <c r="C214" t="s">
        <v>715</v>
      </c>
      <c r="E214" t="s">
        <v>570</v>
      </c>
      <c r="F214">
        <v>16</v>
      </c>
      <c r="G214">
        <v>1987</v>
      </c>
      <c r="H214">
        <v>264</v>
      </c>
      <c r="I214">
        <v>18.437999999999999</v>
      </c>
      <c r="J214">
        <v>693.4</v>
      </c>
      <c r="K214">
        <v>96</v>
      </c>
    </row>
    <row r="215" spans="1:11">
      <c r="A215">
        <v>98422</v>
      </c>
      <c r="B215" t="s">
        <v>714</v>
      </c>
      <c r="C215" t="s">
        <v>716</v>
      </c>
      <c r="E215" t="s">
        <v>570</v>
      </c>
      <c r="F215">
        <v>16</v>
      </c>
      <c r="G215">
        <v>1953</v>
      </c>
      <c r="H215">
        <v>148</v>
      </c>
      <c r="I215">
        <v>19.251000000000001</v>
      </c>
      <c r="J215">
        <v>1479.943</v>
      </c>
      <c r="K215">
        <v>718</v>
      </c>
    </row>
    <row r="216" spans="1:11">
      <c r="A216">
        <v>98476</v>
      </c>
      <c r="B216" t="s">
        <v>717</v>
      </c>
      <c r="C216" t="s">
        <v>718</v>
      </c>
      <c r="D216" t="s">
        <v>107</v>
      </c>
      <c r="E216" t="s">
        <v>570</v>
      </c>
      <c r="F216">
        <v>16</v>
      </c>
      <c r="G216">
        <v>1957</v>
      </c>
      <c r="H216">
        <v>568</v>
      </c>
      <c r="I216">
        <v>2.7810000000000001</v>
      </c>
      <c r="J216">
        <v>89.33</v>
      </c>
      <c r="K216">
        <v>15</v>
      </c>
    </row>
    <row r="217" spans="1:11">
      <c r="A217">
        <v>27011</v>
      </c>
      <c r="B217" t="s">
        <v>719</v>
      </c>
      <c r="C217" t="s">
        <v>720</v>
      </c>
      <c r="D217" t="s">
        <v>107</v>
      </c>
      <c r="E217" t="s">
        <v>557</v>
      </c>
      <c r="F217">
        <v>59</v>
      </c>
      <c r="G217">
        <v>1991</v>
      </c>
      <c r="H217">
        <v>523</v>
      </c>
      <c r="I217">
        <v>1.8440000000000001</v>
      </c>
      <c r="J217">
        <v>128.126</v>
      </c>
      <c r="K217">
        <v>61</v>
      </c>
    </row>
    <row r="218" spans="1:11">
      <c r="A218">
        <v>11058</v>
      </c>
      <c r="B218" t="s">
        <v>721</v>
      </c>
      <c r="C218" t="s">
        <v>589</v>
      </c>
      <c r="E218" t="s">
        <v>491</v>
      </c>
      <c r="F218">
        <v>21</v>
      </c>
      <c r="G218">
        <v>1960</v>
      </c>
      <c r="H218">
        <v>232</v>
      </c>
      <c r="I218">
        <v>12.609</v>
      </c>
      <c r="J218">
        <v>875.48699999999997</v>
      </c>
      <c r="K218">
        <v>390</v>
      </c>
    </row>
    <row r="219" spans="1:11">
      <c r="A219">
        <v>14028</v>
      </c>
      <c r="B219" t="s">
        <v>1464</v>
      </c>
      <c r="C219" t="s">
        <v>1465</v>
      </c>
      <c r="D219" t="s">
        <v>107</v>
      </c>
      <c r="E219" t="s">
        <v>1466</v>
      </c>
      <c r="F219">
        <v>77</v>
      </c>
      <c r="G219">
        <v>1958</v>
      </c>
      <c r="H219">
        <v>215</v>
      </c>
      <c r="I219">
        <v>15.064</v>
      </c>
      <c r="J219">
        <v>981.43</v>
      </c>
      <c r="K219">
        <v>406</v>
      </c>
    </row>
    <row r="220" spans="1:11">
      <c r="A220">
        <v>13054</v>
      </c>
      <c r="B220" t="s">
        <v>1219</v>
      </c>
      <c r="C220" t="s">
        <v>1220</v>
      </c>
      <c r="E220" t="s">
        <v>1221</v>
      </c>
      <c r="F220">
        <v>15</v>
      </c>
      <c r="G220">
        <v>1981</v>
      </c>
      <c r="H220">
        <v>249</v>
      </c>
      <c r="I220">
        <v>13.157</v>
      </c>
      <c r="J220">
        <v>770.42499999999995</v>
      </c>
      <c r="K220">
        <v>224</v>
      </c>
    </row>
    <row r="221" spans="1:11">
      <c r="A221">
        <v>14060</v>
      </c>
      <c r="B221" t="s">
        <v>722</v>
      </c>
      <c r="C221" t="s">
        <v>584</v>
      </c>
      <c r="E221" t="s">
        <v>501</v>
      </c>
      <c r="F221">
        <v>1</v>
      </c>
      <c r="G221">
        <v>1975</v>
      </c>
      <c r="H221">
        <v>75</v>
      </c>
      <c r="I221">
        <v>31.375</v>
      </c>
      <c r="J221">
        <v>2151.453</v>
      </c>
      <c r="K221">
        <v>863</v>
      </c>
    </row>
    <row r="222" spans="1:11">
      <c r="A222">
        <v>16075</v>
      </c>
      <c r="B222" t="s">
        <v>1467</v>
      </c>
      <c r="C222" t="s">
        <v>584</v>
      </c>
      <c r="E222" t="s">
        <v>1419</v>
      </c>
      <c r="F222">
        <v>84</v>
      </c>
      <c r="G222">
        <v>1954</v>
      </c>
      <c r="H222">
        <v>235</v>
      </c>
      <c r="I222">
        <v>18.064</v>
      </c>
      <c r="J222">
        <v>854.40800000000002</v>
      </c>
      <c r="K222">
        <v>184</v>
      </c>
    </row>
    <row r="223" spans="1:11">
      <c r="A223">
        <v>11027</v>
      </c>
      <c r="B223" t="s">
        <v>723</v>
      </c>
      <c r="C223" t="s">
        <v>724</v>
      </c>
      <c r="E223" t="s">
        <v>1206</v>
      </c>
      <c r="F223">
        <v>24</v>
      </c>
      <c r="G223">
        <v>1985</v>
      </c>
      <c r="H223">
        <v>631</v>
      </c>
      <c r="I223">
        <v>1</v>
      </c>
      <c r="J223">
        <v>45.026000000000003</v>
      </c>
      <c r="K223">
        <v>0</v>
      </c>
    </row>
    <row r="224" spans="1:11">
      <c r="A224">
        <v>21851</v>
      </c>
      <c r="B224" t="s">
        <v>725</v>
      </c>
      <c r="C224" t="s">
        <v>549</v>
      </c>
      <c r="E224" t="s">
        <v>1206</v>
      </c>
      <c r="F224">
        <v>24</v>
      </c>
      <c r="G224">
        <v>1988</v>
      </c>
      <c r="H224">
        <v>186</v>
      </c>
      <c r="I224">
        <v>9.75</v>
      </c>
      <c r="J224">
        <v>1145.0930000000001</v>
      </c>
      <c r="K224">
        <v>660</v>
      </c>
    </row>
    <row r="225" spans="1:11">
      <c r="A225">
        <v>15091</v>
      </c>
      <c r="B225" t="s">
        <v>725</v>
      </c>
      <c r="C225" t="s">
        <v>589</v>
      </c>
      <c r="E225" t="s">
        <v>623</v>
      </c>
      <c r="F225">
        <v>45</v>
      </c>
      <c r="G225">
        <v>1950</v>
      </c>
      <c r="H225">
        <v>743</v>
      </c>
      <c r="I225">
        <v>0</v>
      </c>
      <c r="J225">
        <v>0</v>
      </c>
      <c r="K225">
        <v>0</v>
      </c>
    </row>
    <row r="226" spans="1:11">
      <c r="A226">
        <v>14070</v>
      </c>
      <c r="B226" t="s">
        <v>1468</v>
      </c>
      <c r="C226" t="s">
        <v>597</v>
      </c>
      <c r="E226" t="s">
        <v>172</v>
      </c>
      <c r="F226">
        <v>48</v>
      </c>
      <c r="G226">
        <v>1957</v>
      </c>
      <c r="H226">
        <v>744</v>
      </c>
      <c r="I226">
        <v>0</v>
      </c>
      <c r="J226">
        <v>0</v>
      </c>
      <c r="K226">
        <v>0</v>
      </c>
    </row>
    <row r="227" spans="1:11">
      <c r="A227">
        <v>14014</v>
      </c>
      <c r="B227" t="s">
        <v>1469</v>
      </c>
      <c r="C227" t="s">
        <v>982</v>
      </c>
      <c r="D227" t="s">
        <v>107</v>
      </c>
      <c r="E227" t="s">
        <v>172</v>
      </c>
      <c r="F227">
        <v>48</v>
      </c>
      <c r="G227">
        <v>1953</v>
      </c>
      <c r="H227">
        <v>745</v>
      </c>
      <c r="I227">
        <v>0</v>
      </c>
      <c r="J227">
        <v>0</v>
      </c>
      <c r="K227">
        <v>0</v>
      </c>
    </row>
    <row r="228" spans="1:11">
      <c r="A228">
        <v>96089</v>
      </c>
      <c r="B228" t="s">
        <v>726</v>
      </c>
      <c r="C228" t="s">
        <v>535</v>
      </c>
      <c r="E228" t="s">
        <v>570</v>
      </c>
      <c r="F228">
        <v>16</v>
      </c>
      <c r="G228">
        <v>1968</v>
      </c>
      <c r="H228">
        <v>538</v>
      </c>
      <c r="I228">
        <v>3.625</v>
      </c>
      <c r="J228">
        <v>113.69</v>
      </c>
      <c r="K228">
        <v>0</v>
      </c>
    </row>
    <row r="229" spans="1:11">
      <c r="A229">
        <v>13028</v>
      </c>
      <c r="B229" t="s">
        <v>1222</v>
      </c>
      <c r="C229" t="s">
        <v>595</v>
      </c>
      <c r="E229" t="s">
        <v>1202</v>
      </c>
      <c r="F229">
        <v>76</v>
      </c>
      <c r="G229">
        <v>1959</v>
      </c>
      <c r="H229">
        <v>615</v>
      </c>
      <c r="I229">
        <v>1.3129999999999999</v>
      </c>
      <c r="J229">
        <v>53.777999999999999</v>
      </c>
      <c r="K229">
        <v>0</v>
      </c>
    </row>
    <row r="230" spans="1:11">
      <c r="A230">
        <v>25002</v>
      </c>
      <c r="B230" t="s">
        <v>727</v>
      </c>
      <c r="C230" t="s">
        <v>629</v>
      </c>
      <c r="D230" t="s">
        <v>107</v>
      </c>
      <c r="E230" t="s">
        <v>472</v>
      </c>
      <c r="F230">
        <v>54</v>
      </c>
      <c r="G230">
        <v>1973</v>
      </c>
      <c r="H230">
        <v>746</v>
      </c>
      <c r="I230">
        <v>0</v>
      </c>
      <c r="J230">
        <v>0</v>
      </c>
      <c r="K230">
        <v>0</v>
      </c>
    </row>
    <row r="231" spans="1:11">
      <c r="A231">
        <v>24240</v>
      </c>
      <c r="B231" t="s">
        <v>728</v>
      </c>
      <c r="C231" t="s">
        <v>535</v>
      </c>
      <c r="E231" t="s">
        <v>198</v>
      </c>
      <c r="F231">
        <v>17</v>
      </c>
      <c r="G231">
        <v>1976</v>
      </c>
      <c r="H231">
        <v>37</v>
      </c>
      <c r="I231">
        <v>37.5</v>
      </c>
      <c r="J231">
        <v>2812.7930000000001</v>
      </c>
      <c r="K231">
        <v>1076</v>
      </c>
    </row>
    <row r="232" spans="1:11">
      <c r="A232">
        <v>15063</v>
      </c>
      <c r="B232" t="s">
        <v>1470</v>
      </c>
      <c r="C232" t="s">
        <v>629</v>
      </c>
      <c r="D232" t="s">
        <v>655</v>
      </c>
      <c r="E232" t="s">
        <v>1206</v>
      </c>
      <c r="F232">
        <v>24</v>
      </c>
      <c r="G232">
        <v>2015</v>
      </c>
      <c r="H232">
        <v>687</v>
      </c>
      <c r="I232">
        <v>0.28100000000000003</v>
      </c>
      <c r="J232">
        <v>13.254</v>
      </c>
      <c r="K232">
        <v>0</v>
      </c>
    </row>
    <row r="233" spans="1:11">
      <c r="A233">
        <v>98373</v>
      </c>
      <c r="B233" t="s">
        <v>1470</v>
      </c>
      <c r="C233" t="s">
        <v>1068</v>
      </c>
      <c r="D233" t="s">
        <v>107</v>
      </c>
      <c r="E233" t="s">
        <v>1206</v>
      </c>
      <c r="F233">
        <v>24</v>
      </c>
      <c r="G233">
        <v>1985</v>
      </c>
      <c r="H233">
        <v>82</v>
      </c>
      <c r="I233">
        <v>24</v>
      </c>
      <c r="J233">
        <v>2025.461</v>
      </c>
      <c r="K233">
        <v>882</v>
      </c>
    </row>
    <row r="234" spans="1:11">
      <c r="A234">
        <v>28038</v>
      </c>
      <c r="B234" t="s">
        <v>729</v>
      </c>
      <c r="C234" t="s">
        <v>625</v>
      </c>
      <c r="D234" t="s">
        <v>107</v>
      </c>
      <c r="E234" t="s">
        <v>200</v>
      </c>
      <c r="F234">
        <v>19</v>
      </c>
      <c r="G234">
        <v>1954</v>
      </c>
      <c r="H234">
        <v>358</v>
      </c>
      <c r="I234">
        <v>5.891</v>
      </c>
      <c r="J234">
        <v>379.90199999999999</v>
      </c>
      <c r="K234">
        <v>156</v>
      </c>
    </row>
    <row r="235" spans="1:11">
      <c r="A235">
        <v>25085</v>
      </c>
      <c r="B235" t="s">
        <v>730</v>
      </c>
      <c r="C235" t="s">
        <v>731</v>
      </c>
      <c r="E235" t="s">
        <v>550</v>
      </c>
      <c r="F235">
        <v>29</v>
      </c>
      <c r="G235">
        <v>1961</v>
      </c>
      <c r="H235">
        <v>526</v>
      </c>
      <c r="I235">
        <v>1.907</v>
      </c>
      <c r="J235">
        <v>123.21599999999999</v>
      </c>
      <c r="K235">
        <v>38</v>
      </c>
    </row>
    <row r="236" spans="1:11">
      <c r="A236">
        <v>14063</v>
      </c>
      <c r="B236" t="s">
        <v>730</v>
      </c>
      <c r="C236" t="s">
        <v>708</v>
      </c>
      <c r="E236" t="s">
        <v>570</v>
      </c>
      <c r="F236">
        <v>16</v>
      </c>
      <c r="G236">
        <v>1983</v>
      </c>
      <c r="H236">
        <v>747</v>
      </c>
      <c r="I236">
        <v>0</v>
      </c>
      <c r="J236">
        <v>0</v>
      </c>
      <c r="K236">
        <v>0</v>
      </c>
    </row>
    <row r="237" spans="1:11">
      <c r="A237">
        <v>13049</v>
      </c>
      <c r="B237" t="s">
        <v>1223</v>
      </c>
      <c r="C237" t="s">
        <v>584</v>
      </c>
      <c r="E237" t="s">
        <v>1197</v>
      </c>
      <c r="F237">
        <v>2</v>
      </c>
      <c r="G237">
        <v>1955</v>
      </c>
      <c r="H237">
        <v>645</v>
      </c>
      <c r="I237">
        <v>0.5</v>
      </c>
      <c r="J237">
        <v>37.969000000000001</v>
      </c>
      <c r="K237">
        <v>15</v>
      </c>
    </row>
    <row r="238" spans="1:11">
      <c r="A238">
        <v>16077</v>
      </c>
      <c r="B238" t="s">
        <v>1471</v>
      </c>
      <c r="C238" t="s">
        <v>535</v>
      </c>
      <c r="E238" t="s">
        <v>1419</v>
      </c>
      <c r="F238">
        <v>84</v>
      </c>
      <c r="G238">
        <v>1953</v>
      </c>
      <c r="H238">
        <v>231</v>
      </c>
      <c r="I238">
        <v>18.564</v>
      </c>
      <c r="J238">
        <v>879.56600000000003</v>
      </c>
      <c r="K238">
        <v>184</v>
      </c>
    </row>
    <row r="239" spans="1:11">
      <c r="A239">
        <v>10108</v>
      </c>
      <c r="B239" t="s">
        <v>732</v>
      </c>
      <c r="C239" t="s">
        <v>684</v>
      </c>
      <c r="D239" t="s">
        <v>107</v>
      </c>
      <c r="E239" t="s">
        <v>1200</v>
      </c>
      <c r="F239">
        <v>70</v>
      </c>
      <c r="G239">
        <v>1935</v>
      </c>
      <c r="H239">
        <v>748</v>
      </c>
      <c r="I239">
        <v>0</v>
      </c>
      <c r="J239">
        <v>0</v>
      </c>
      <c r="K239">
        <v>0</v>
      </c>
    </row>
    <row r="240" spans="1:11">
      <c r="A240">
        <v>96135</v>
      </c>
      <c r="B240" t="s">
        <v>733</v>
      </c>
      <c r="C240" t="s">
        <v>569</v>
      </c>
      <c r="D240" t="s">
        <v>107</v>
      </c>
      <c r="E240" t="s">
        <v>484</v>
      </c>
      <c r="F240">
        <v>7</v>
      </c>
      <c r="G240">
        <v>1975</v>
      </c>
      <c r="H240">
        <v>749</v>
      </c>
      <c r="I240">
        <v>0</v>
      </c>
      <c r="J240">
        <v>0</v>
      </c>
      <c r="K240">
        <v>0</v>
      </c>
    </row>
    <row r="241" spans="1:11">
      <c r="A241">
        <v>12057</v>
      </c>
      <c r="B241" t="s">
        <v>733</v>
      </c>
      <c r="C241" t="s">
        <v>669</v>
      </c>
      <c r="D241" t="s">
        <v>107</v>
      </c>
      <c r="E241" t="s">
        <v>477</v>
      </c>
      <c r="F241">
        <v>27</v>
      </c>
      <c r="G241">
        <v>1984</v>
      </c>
      <c r="H241">
        <v>256</v>
      </c>
      <c r="I241">
        <v>8.766</v>
      </c>
      <c r="J241">
        <v>725.82399999999996</v>
      </c>
      <c r="K241">
        <v>330</v>
      </c>
    </row>
    <row r="242" spans="1:11">
      <c r="A242">
        <v>15060</v>
      </c>
      <c r="B242" t="s">
        <v>1472</v>
      </c>
      <c r="C242" t="s">
        <v>564</v>
      </c>
      <c r="E242" t="s">
        <v>1210</v>
      </c>
      <c r="F242">
        <v>42</v>
      </c>
      <c r="G242">
        <v>1955</v>
      </c>
      <c r="H242">
        <v>104</v>
      </c>
      <c r="I242">
        <v>23.533000000000001</v>
      </c>
      <c r="J242">
        <v>1851.4380000000001</v>
      </c>
      <c r="K242">
        <v>902</v>
      </c>
    </row>
    <row r="243" spans="1:11">
      <c r="A243">
        <v>12035</v>
      </c>
      <c r="B243" t="s">
        <v>734</v>
      </c>
      <c r="C243" t="s">
        <v>617</v>
      </c>
      <c r="D243" t="s">
        <v>107</v>
      </c>
      <c r="E243" t="s">
        <v>576</v>
      </c>
      <c r="F243">
        <v>73</v>
      </c>
      <c r="G243">
        <v>1945</v>
      </c>
      <c r="H243">
        <v>258</v>
      </c>
      <c r="I243">
        <v>11.061999999999999</v>
      </c>
      <c r="J243">
        <v>717.80200000000002</v>
      </c>
      <c r="K243">
        <v>237</v>
      </c>
    </row>
    <row r="244" spans="1:11">
      <c r="A244">
        <v>28051</v>
      </c>
      <c r="B244" t="s">
        <v>735</v>
      </c>
      <c r="C244" t="s">
        <v>736</v>
      </c>
      <c r="E244" t="s">
        <v>200</v>
      </c>
      <c r="F244">
        <v>19</v>
      </c>
      <c r="G244">
        <v>1963</v>
      </c>
      <c r="H244">
        <v>125</v>
      </c>
      <c r="I244">
        <v>26.032</v>
      </c>
      <c r="J244">
        <v>1686.2280000000001</v>
      </c>
      <c r="K244">
        <v>635</v>
      </c>
    </row>
    <row r="245" spans="1:11">
      <c r="A245">
        <v>25003</v>
      </c>
      <c r="B245" t="s">
        <v>737</v>
      </c>
      <c r="C245" t="s">
        <v>738</v>
      </c>
      <c r="D245" t="s">
        <v>107</v>
      </c>
      <c r="E245" t="s">
        <v>472</v>
      </c>
      <c r="F245">
        <v>54</v>
      </c>
      <c r="G245">
        <v>1973</v>
      </c>
      <c r="H245">
        <v>54</v>
      </c>
      <c r="I245">
        <v>31</v>
      </c>
      <c r="J245">
        <v>2416.4549999999999</v>
      </c>
      <c r="K245">
        <v>1088</v>
      </c>
    </row>
    <row r="246" spans="1:11">
      <c r="A246">
        <v>17028</v>
      </c>
      <c r="B246" t="s">
        <v>1473</v>
      </c>
      <c r="C246" t="s">
        <v>758</v>
      </c>
      <c r="E246" t="s">
        <v>477</v>
      </c>
      <c r="F246">
        <v>27</v>
      </c>
      <c r="G246">
        <v>1974</v>
      </c>
      <c r="H246">
        <v>487</v>
      </c>
      <c r="I246">
        <v>4.8129999999999997</v>
      </c>
      <c r="J246">
        <v>172.31</v>
      </c>
      <c r="K246">
        <v>0</v>
      </c>
    </row>
    <row r="247" spans="1:11">
      <c r="A247">
        <v>17076</v>
      </c>
      <c r="B247" t="s">
        <v>1474</v>
      </c>
      <c r="C247" t="s">
        <v>1475</v>
      </c>
      <c r="D247" t="s">
        <v>655</v>
      </c>
      <c r="E247" t="s">
        <v>477</v>
      </c>
      <c r="F247">
        <v>27</v>
      </c>
      <c r="G247">
        <v>2009</v>
      </c>
      <c r="H247">
        <v>750</v>
      </c>
      <c r="I247">
        <v>0</v>
      </c>
      <c r="J247">
        <v>0</v>
      </c>
      <c r="K247">
        <v>0</v>
      </c>
    </row>
    <row r="248" spans="1:11">
      <c r="A248">
        <v>13065</v>
      </c>
      <c r="B248" t="s">
        <v>1224</v>
      </c>
      <c r="C248" t="s">
        <v>590</v>
      </c>
      <c r="E248" t="s">
        <v>582</v>
      </c>
      <c r="F248">
        <v>67</v>
      </c>
      <c r="G248">
        <v>1961</v>
      </c>
      <c r="H248">
        <v>751</v>
      </c>
      <c r="I248">
        <v>0</v>
      </c>
      <c r="J248">
        <v>0</v>
      </c>
      <c r="K248">
        <v>0</v>
      </c>
    </row>
    <row r="249" spans="1:11">
      <c r="A249">
        <v>16017</v>
      </c>
      <c r="B249" t="s">
        <v>1476</v>
      </c>
      <c r="C249" t="s">
        <v>679</v>
      </c>
      <c r="D249" t="s">
        <v>91</v>
      </c>
      <c r="E249" t="s">
        <v>472</v>
      </c>
      <c r="F249">
        <v>54</v>
      </c>
      <c r="G249">
        <v>2007</v>
      </c>
      <c r="H249">
        <v>399</v>
      </c>
      <c r="I249">
        <v>6.5860000000000003</v>
      </c>
      <c r="J249">
        <v>308.37</v>
      </c>
      <c r="K249">
        <v>20</v>
      </c>
    </row>
    <row r="250" spans="1:11">
      <c r="A250">
        <v>10079</v>
      </c>
      <c r="B250" t="s">
        <v>739</v>
      </c>
      <c r="C250" t="s">
        <v>740</v>
      </c>
      <c r="E250" t="s">
        <v>487</v>
      </c>
      <c r="F250">
        <v>69</v>
      </c>
      <c r="G250">
        <v>1951</v>
      </c>
      <c r="H250">
        <v>222</v>
      </c>
      <c r="I250">
        <v>9.8759999999999994</v>
      </c>
      <c r="J250">
        <v>928.12400000000002</v>
      </c>
      <c r="K250">
        <v>493</v>
      </c>
    </row>
    <row r="251" spans="1:11">
      <c r="A251">
        <v>15044</v>
      </c>
      <c r="B251" t="s">
        <v>1477</v>
      </c>
      <c r="C251" t="s">
        <v>1008</v>
      </c>
      <c r="D251" t="s">
        <v>107</v>
      </c>
      <c r="E251" t="s">
        <v>1200</v>
      </c>
      <c r="F251">
        <v>70</v>
      </c>
      <c r="G251">
        <v>1946</v>
      </c>
      <c r="H251">
        <v>655</v>
      </c>
      <c r="I251">
        <v>0.71899999999999997</v>
      </c>
      <c r="J251">
        <v>31.408999999999999</v>
      </c>
      <c r="K251">
        <v>0</v>
      </c>
    </row>
    <row r="252" spans="1:11">
      <c r="A252">
        <v>96109</v>
      </c>
      <c r="B252" t="s">
        <v>742</v>
      </c>
      <c r="C252" t="s">
        <v>595</v>
      </c>
      <c r="E252" t="s">
        <v>743</v>
      </c>
      <c r="F252">
        <v>10</v>
      </c>
      <c r="G252">
        <v>1959</v>
      </c>
      <c r="H252">
        <v>636</v>
      </c>
      <c r="I252">
        <v>2</v>
      </c>
      <c r="J252">
        <v>41.98</v>
      </c>
      <c r="K252">
        <v>0</v>
      </c>
    </row>
    <row r="253" spans="1:11">
      <c r="A253">
        <v>22982</v>
      </c>
      <c r="B253" t="s">
        <v>744</v>
      </c>
      <c r="C253" t="s">
        <v>581</v>
      </c>
      <c r="E253" t="s">
        <v>477</v>
      </c>
      <c r="F253">
        <v>27</v>
      </c>
      <c r="G253">
        <v>1964</v>
      </c>
      <c r="H253">
        <v>435</v>
      </c>
      <c r="I253">
        <v>1.8129999999999999</v>
      </c>
      <c r="J253">
        <v>240.68799999999999</v>
      </c>
      <c r="K253">
        <v>141</v>
      </c>
    </row>
    <row r="254" spans="1:11">
      <c r="A254">
        <v>99559</v>
      </c>
      <c r="B254" t="s">
        <v>744</v>
      </c>
      <c r="C254" t="s">
        <v>589</v>
      </c>
      <c r="E254" t="s">
        <v>570</v>
      </c>
      <c r="F254">
        <v>16</v>
      </c>
      <c r="G254">
        <v>1988</v>
      </c>
      <c r="H254">
        <v>595</v>
      </c>
      <c r="I254">
        <v>1.6879999999999999</v>
      </c>
      <c r="J254">
        <v>70.75</v>
      </c>
      <c r="K254">
        <v>0</v>
      </c>
    </row>
    <row r="255" spans="1:11">
      <c r="A255">
        <v>23101</v>
      </c>
      <c r="B255" t="s">
        <v>745</v>
      </c>
      <c r="C255" t="s">
        <v>746</v>
      </c>
      <c r="D255" t="s">
        <v>107</v>
      </c>
      <c r="E255" t="s">
        <v>623</v>
      </c>
      <c r="F255">
        <v>45</v>
      </c>
      <c r="G255">
        <v>1963</v>
      </c>
      <c r="H255">
        <v>752</v>
      </c>
      <c r="I255">
        <v>0</v>
      </c>
      <c r="J255">
        <v>0</v>
      </c>
      <c r="K255">
        <v>0</v>
      </c>
    </row>
    <row r="256" spans="1:11">
      <c r="A256">
        <v>16023</v>
      </c>
      <c r="B256" t="s">
        <v>1478</v>
      </c>
      <c r="C256" t="s">
        <v>1479</v>
      </c>
      <c r="E256" t="s">
        <v>477</v>
      </c>
      <c r="F256">
        <v>27</v>
      </c>
      <c r="G256">
        <v>1966</v>
      </c>
      <c r="H256">
        <v>317</v>
      </c>
      <c r="I256">
        <v>7.0780000000000003</v>
      </c>
      <c r="J256">
        <v>512.72400000000005</v>
      </c>
      <c r="K256">
        <v>204</v>
      </c>
    </row>
    <row r="257" spans="1:11">
      <c r="A257">
        <v>17009</v>
      </c>
      <c r="B257" t="s">
        <v>1480</v>
      </c>
      <c r="C257" t="s">
        <v>1481</v>
      </c>
      <c r="E257" t="s">
        <v>1482</v>
      </c>
      <c r="F257">
        <v>85</v>
      </c>
      <c r="G257">
        <v>1957</v>
      </c>
      <c r="H257">
        <v>753</v>
      </c>
      <c r="I257">
        <v>0</v>
      </c>
      <c r="J257">
        <v>0</v>
      </c>
      <c r="K257">
        <v>0</v>
      </c>
    </row>
    <row r="258" spans="1:11">
      <c r="A258">
        <v>15085</v>
      </c>
      <c r="B258" t="s">
        <v>1483</v>
      </c>
      <c r="C258" t="s">
        <v>597</v>
      </c>
      <c r="E258" t="s">
        <v>1197</v>
      </c>
      <c r="F258">
        <v>2</v>
      </c>
      <c r="G258">
        <v>1996</v>
      </c>
      <c r="H258">
        <v>612</v>
      </c>
      <c r="I258">
        <v>2.1880000000000002</v>
      </c>
      <c r="J258">
        <v>56.512</v>
      </c>
      <c r="K258">
        <v>0</v>
      </c>
    </row>
    <row r="259" spans="1:11">
      <c r="A259">
        <v>27041</v>
      </c>
      <c r="B259" t="s">
        <v>747</v>
      </c>
      <c r="C259" t="s">
        <v>597</v>
      </c>
      <c r="E259" t="s">
        <v>200</v>
      </c>
      <c r="F259">
        <v>19</v>
      </c>
      <c r="G259">
        <v>1957</v>
      </c>
      <c r="H259">
        <v>609</v>
      </c>
      <c r="I259">
        <v>1.875</v>
      </c>
      <c r="J259">
        <v>61.735999999999997</v>
      </c>
      <c r="K259">
        <v>0</v>
      </c>
    </row>
    <row r="260" spans="1:11">
      <c r="A260">
        <v>10109</v>
      </c>
      <c r="B260" t="s">
        <v>748</v>
      </c>
      <c r="C260" t="s">
        <v>553</v>
      </c>
      <c r="E260" t="s">
        <v>1200</v>
      </c>
      <c r="F260">
        <v>70</v>
      </c>
      <c r="G260">
        <v>1947</v>
      </c>
      <c r="H260">
        <v>754</v>
      </c>
      <c r="I260">
        <v>0</v>
      </c>
      <c r="J260">
        <v>0</v>
      </c>
      <c r="K260">
        <v>0</v>
      </c>
    </row>
    <row r="261" spans="1:11">
      <c r="A261">
        <v>10110</v>
      </c>
      <c r="B261" t="s">
        <v>749</v>
      </c>
      <c r="C261" t="s">
        <v>638</v>
      </c>
      <c r="D261" t="s">
        <v>107</v>
      </c>
      <c r="E261" t="s">
        <v>1200</v>
      </c>
      <c r="F261">
        <v>70</v>
      </c>
      <c r="G261">
        <v>1925</v>
      </c>
      <c r="H261">
        <v>657</v>
      </c>
      <c r="I261">
        <v>0.70299999999999996</v>
      </c>
      <c r="J261">
        <v>30.725999999999999</v>
      </c>
      <c r="K261">
        <v>0</v>
      </c>
    </row>
    <row r="262" spans="1:11">
      <c r="A262">
        <v>21934</v>
      </c>
      <c r="B262" t="s">
        <v>750</v>
      </c>
      <c r="C262" t="s">
        <v>589</v>
      </c>
      <c r="E262" t="s">
        <v>570</v>
      </c>
      <c r="F262">
        <v>16</v>
      </c>
      <c r="G262">
        <v>1970</v>
      </c>
      <c r="H262">
        <v>630</v>
      </c>
      <c r="I262">
        <v>2.25</v>
      </c>
      <c r="J262">
        <v>47.228000000000002</v>
      </c>
      <c r="K262">
        <v>0</v>
      </c>
    </row>
    <row r="263" spans="1:11">
      <c r="A263">
        <v>15051</v>
      </c>
      <c r="B263" t="s">
        <v>1484</v>
      </c>
      <c r="C263" t="s">
        <v>575</v>
      </c>
      <c r="E263" t="s">
        <v>216</v>
      </c>
      <c r="F263">
        <v>33</v>
      </c>
      <c r="G263">
        <v>1953</v>
      </c>
      <c r="H263">
        <v>463</v>
      </c>
      <c r="I263">
        <v>6.5629999999999997</v>
      </c>
      <c r="J263">
        <v>196.34700000000001</v>
      </c>
      <c r="K263">
        <v>0</v>
      </c>
    </row>
    <row r="264" spans="1:11">
      <c r="A264">
        <v>27045</v>
      </c>
      <c r="B264" t="s">
        <v>751</v>
      </c>
      <c r="C264" t="s">
        <v>584</v>
      </c>
      <c r="E264" t="s">
        <v>163</v>
      </c>
      <c r="F264">
        <v>43</v>
      </c>
      <c r="G264">
        <v>1980</v>
      </c>
      <c r="H264">
        <v>755</v>
      </c>
      <c r="I264">
        <v>0</v>
      </c>
      <c r="J264">
        <v>0</v>
      </c>
      <c r="K264">
        <v>0</v>
      </c>
    </row>
    <row r="265" spans="1:11">
      <c r="A265">
        <v>21777</v>
      </c>
      <c r="B265" t="s">
        <v>751</v>
      </c>
      <c r="C265" t="s">
        <v>595</v>
      </c>
      <c r="E265" t="s">
        <v>198</v>
      </c>
      <c r="F265">
        <v>17</v>
      </c>
      <c r="G265">
        <v>1975</v>
      </c>
      <c r="H265">
        <v>257</v>
      </c>
      <c r="I265">
        <v>9.8130000000000006</v>
      </c>
      <c r="J265">
        <v>717.92100000000005</v>
      </c>
      <c r="K265">
        <v>273</v>
      </c>
    </row>
    <row r="266" spans="1:11">
      <c r="A266">
        <v>23055</v>
      </c>
      <c r="B266" t="s">
        <v>752</v>
      </c>
      <c r="C266" t="s">
        <v>707</v>
      </c>
      <c r="D266" t="s">
        <v>107</v>
      </c>
      <c r="E266" t="s">
        <v>163</v>
      </c>
      <c r="F266">
        <v>43</v>
      </c>
      <c r="G266">
        <v>1977</v>
      </c>
      <c r="H266">
        <v>756</v>
      </c>
      <c r="I266">
        <v>0</v>
      </c>
      <c r="J266">
        <v>0</v>
      </c>
      <c r="K266">
        <v>0</v>
      </c>
    </row>
    <row r="267" spans="1:11">
      <c r="A267">
        <v>24221</v>
      </c>
      <c r="B267" t="s">
        <v>1485</v>
      </c>
      <c r="C267" t="s">
        <v>539</v>
      </c>
      <c r="D267" t="s">
        <v>107</v>
      </c>
      <c r="E267" t="s">
        <v>497</v>
      </c>
      <c r="F267">
        <v>51</v>
      </c>
      <c r="G267">
        <v>1969</v>
      </c>
      <c r="H267">
        <v>757</v>
      </c>
      <c r="I267">
        <v>0</v>
      </c>
      <c r="J267">
        <v>0</v>
      </c>
      <c r="K267">
        <v>0</v>
      </c>
    </row>
    <row r="268" spans="1:11">
      <c r="A268">
        <v>26061</v>
      </c>
      <c r="B268" t="s">
        <v>753</v>
      </c>
      <c r="C268" t="s">
        <v>584</v>
      </c>
      <c r="E268" t="s">
        <v>477</v>
      </c>
      <c r="F268">
        <v>27</v>
      </c>
      <c r="G268">
        <v>1957</v>
      </c>
      <c r="H268">
        <v>210</v>
      </c>
      <c r="I268">
        <v>12.875999999999999</v>
      </c>
      <c r="J268">
        <v>1025.356</v>
      </c>
      <c r="K268">
        <v>452</v>
      </c>
    </row>
    <row r="269" spans="1:11">
      <c r="A269">
        <v>16064</v>
      </c>
      <c r="B269" t="s">
        <v>1486</v>
      </c>
      <c r="C269" t="s">
        <v>612</v>
      </c>
      <c r="E269" t="s">
        <v>1487</v>
      </c>
      <c r="F269">
        <v>83</v>
      </c>
      <c r="G269">
        <v>1972</v>
      </c>
      <c r="H269">
        <v>403</v>
      </c>
      <c r="I269">
        <v>6.0309999999999997</v>
      </c>
      <c r="J269">
        <v>300.774</v>
      </c>
      <c r="K269">
        <v>69</v>
      </c>
    </row>
    <row r="270" spans="1:11">
      <c r="A270">
        <v>16065</v>
      </c>
      <c r="B270" t="s">
        <v>1486</v>
      </c>
      <c r="C270" t="s">
        <v>708</v>
      </c>
      <c r="E270" t="s">
        <v>1487</v>
      </c>
      <c r="F270">
        <v>83</v>
      </c>
      <c r="G270">
        <v>1977</v>
      </c>
      <c r="H270">
        <v>418</v>
      </c>
      <c r="I270">
        <v>8.0860000000000003</v>
      </c>
      <c r="J270">
        <v>269.06799999999998</v>
      </c>
      <c r="K270">
        <v>20</v>
      </c>
    </row>
    <row r="271" spans="1:11">
      <c r="A271">
        <v>10111</v>
      </c>
      <c r="B271" t="s">
        <v>754</v>
      </c>
      <c r="C271" t="s">
        <v>653</v>
      </c>
      <c r="D271" t="s">
        <v>107</v>
      </c>
      <c r="E271" t="s">
        <v>1200</v>
      </c>
      <c r="F271">
        <v>70</v>
      </c>
      <c r="G271">
        <v>1944</v>
      </c>
      <c r="H271">
        <v>758</v>
      </c>
      <c r="I271">
        <v>0</v>
      </c>
      <c r="J271">
        <v>0</v>
      </c>
      <c r="K271">
        <v>0</v>
      </c>
    </row>
    <row r="272" spans="1:11">
      <c r="A272">
        <v>17010</v>
      </c>
      <c r="B272" t="s">
        <v>1488</v>
      </c>
      <c r="C272" t="s">
        <v>645</v>
      </c>
      <c r="D272" t="s">
        <v>107</v>
      </c>
      <c r="E272" t="s">
        <v>1419</v>
      </c>
      <c r="F272">
        <v>84</v>
      </c>
      <c r="G272">
        <v>1954</v>
      </c>
      <c r="H272">
        <v>759</v>
      </c>
      <c r="I272">
        <v>0</v>
      </c>
      <c r="J272">
        <v>0</v>
      </c>
      <c r="K272">
        <v>0</v>
      </c>
    </row>
    <row r="273" spans="1:11">
      <c r="A273">
        <v>29053</v>
      </c>
      <c r="B273" t="s">
        <v>755</v>
      </c>
      <c r="C273" t="s">
        <v>572</v>
      </c>
      <c r="E273" t="s">
        <v>495</v>
      </c>
      <c r="F273">
        <v>64</v>
      </c>
      <c r="G273">
        <v>1975</v>
      </c>
      <c r="H273">
        <v>514</v>
      </c>
      <c r="I273">
        <v>3.5630000000000002</v>
      </c>
      <c r="J273">
        <v>136.65</v>
      </c>
      <c r="K273">
        <v>0</v>
      </c>
    </row>
    <row r="274" spans="1:11">
      <c r="A274">
        <v>98465</v>
      </c>
      <c r="B274" t="s">
        <v>756</v>
      </c>
      <c r="C274" t="s">
        <v>543</v>
      </c>
      <c r="E274" t="s">
        <v>491</v>
      </c>
      <c r="F274">
        <v>21</v>
      </c>
      <c r="G274">
        <v>1975</v>
      </c>
      <c r="H274">
        <v>176</v>
      </c>
      <c r="I274">
        <v>17.062999999999999</v>
      </c>
      <c r="J274">
        <v>1198.191</v>
      </c>
      <c r="K274">
        <v>543</v>
      </c>
    </row>
    <row r="275" spans="1:11">
      <c r="A275">
        <v>10138</v>
      </c>
      <c r="B275" t="s">
        <v>756</v>
      </c>
      <c r="C275" t="s">
        <v>757</v>
      </c>
      <c r="D275" t="s">
        <v>91</v>
      </c>
      <c r="E275" t="s">
        <v>491</v>
      </c>
      <c r="F275">
        <v>21</v>
      </c>
      <c r="G275">
        <v>2003</v>
      </c>
      <c r="H275">
        <v>173</v>
      </c>
      <c r="I275">
        <v>21.47</v>
      </c>
      <c r="J275">
        <v>1244.135</v>
      </c>
      <c r="K275">
        <v>432</v>
      </c>
    </row>
    <row r="276" spans="1:11">
      <c r="A276">
        <v>96044</v>
      </c>
      <c r="B276" t="s">
        <v>756</v>
      </c>
      <c r="C276" t="s">
        <v>673</v>
      </c>
      <c r="E276" t="s">
        <v>491</v>
      </c>
      <c r="F276">
        <v>21</v>
      </c>
      <c r="G276">
        <v>1934</v>
      </c>
      <c r="H276">
        <v>760</v>
      </c>
      <c r="I276">
        <v>0</v>
      </c>
      <c r="J276">
        <v>0</v>
      </c>
      <c r="K276">
        <v>0</v>
      </c>
    </row>
    <row r="277" spans="1:11">
      <c r="A277">
        <v>24315</v>
      </c>
      <c r="B277" t="s">
        <v>759</v>
      </c>
      <c r="C277" t="s">
        <v>760</v>
      </c>
      <c r="D277" t="s">
        <v>107</v>
      </c>
      <c r="E277" t="s">
        <v>491</v>
      </c>
      <c r="F277">
        <v>21</v>
      </c>
      <c r="G277">
        <v>1995</v>
      </c>
      <c r="H277">
        <v>288</v>
      </c>
      <c r="I277">
        <v>11.500999999999999</v>
      </c>
      <c r="J277">
        <v>621.17200000000003</v>
      </c>
      <c r="K277">
        <v>169</v>
      </c>
    </row>
    <row r="278" spans="1:11">
      <c r="A278">
        <v>20676</v>
      </c>
      <c r="B278" t="s">
        <v>759</v>
      </c>
      <c r="C278" t="s">
        <v>761</v>
      </c>
      <c r="D278" t="s">
        <v>107</v>
      </c>
      <c r="E278" t="s">
        <v>491</v>
      </c>
      <c r="F278">
        <v>21</v>
      </c>
      <c r="G278">
        <v>1973</v>
      </c>
      <c r="H278">
        <v>243</v>
      </c>
      <c r="I278">
        <v>12.439</v>
      </c>
      <c r="J278">
        <v>820.36599999999999</v>
      </c>
      <c r="K278">
        <v>308</v>
      </c>
    </row>
    <row r="279" spans="1:11">
      <c r="A279">
        <v>24239</v>
      </c>
      <c r="B279" t="s">
        <v>759</v>
      </c>
      <c r="C279" t="s">
        <v>683</v>
      </c>
      <c r="D279" t="s">
        <v>107</v>
      </c>
      <c r="E279" t="s">
        <v>198</v>
      </c>
      <c r="F279">
        <v>17</v>
      </c>
      <c r="G279">
        <v>1975</v>
      </c>
      <c r="H279">
        <v>761</v>
      </c>
      <c r="I279">
        <v>0</v>
      </c>
      <c r="J279">
        <v>0</v>
      </c>
      <c r="K279">
        <v>0</v>
      </c>
    </row>
    <row r="280" spans="1:11">
      <c r="A280">
        <v>15082</v>
      </c>
      <c r="B280" t="s">
        <v>1489</v>
      </c>
      <c r="C280" t="s">
        <v>621</v>
      </c>
      <c r="E280" t="s">
        <v>1197</v>
      </c>
      <c r="F280">
        <v>2</v>
      </c>
      <c r="G280">
        <v>1956</v>
      </c>
      <c r="H280">
        <v>371</v>
      </c>
      <c r="I280">
        <v>8.9380000000000006</v>
      </c>
      <c r="J280">
        <v>354.73200000000003</v>
      </c>
      <c r="K280">
        <v>57</v>
      </c>
    </row>
    <row r="281" spans="1:11">
      <c r="A281">
        <v>14037</v>
      </c>
      <c r="B281" t="s">
        <v>1490</v>
      </c>
      <c r="C281" t="s">
        <v>736</v>
      </c>
      <c r="E281" t="s">
        <v>1400</v>
      </c>
      <c r="F281">
        <v>78</v>
      </c>
      <c r="G281">
        <v>1959</v>
      </c>
      <c r="H281">
        <v>294</v>
      </c>
      <c r="I281">
        <v>4.9850000000000003</v>
      </c>
      <c r="J281">
        <v>609.36</v>
      </c>
      <c r="K281">
        <v>376</v>
      </c>
    </row>
    <row r="282" spans="1:11">
      <c r="A282">
        <v>16024</v>
      </c>
      <c r="B282" t="s">
        <v>1491</v>
      </c>
      <c r="C282" t="s">
        <v>1492</v>
      </c>
      <c r="D282" t="s">
        <v>107</v>
      </c>
      <c r="E282" t="s">
        <v>1400</v>
      </c>
      <c r="F282">
        <v>78</v>
      </c>
      <c r="G282">
        <v>1967</v>
      </c>
      <c r="H282">
        <v>361</v>
      </c>
      <c r="I282">
        <v>3.4689999999999999</v>
      </c>
      <c r="J282">
        <v>374.59800000000001</v>
      </c>
      <c r="K282">
        <v>215</v>
      </c>
    </row>
    <row r="283" spans="1:11">
      <c r="A283">
        <v>11044</v>
      </c>
      <c r="B283" t="s">
        <v>762</v>
      </c>
      <c r="C283" t="s">
        <v>595</v>
      </c>
      <c r="E283" t="s">
        <v>1197</v>
      </c>
      <c r="F283">
        <v>2</v>
      </c>
      <c r="G283">
        <v>1941</v>
      </c>
      <c r="H283">
        <v>272</v>
      </c>
      <c r="I283">
        <v>12.593999999999999</v>
      </c>
      <c r="J283">
        <v>677.09900000000005</v>
      </c>
      <c r="K283">
        <v>148</v>
      </c>
    </row>
    <row r="284" spans="1:11">
      <c r="A284">
        <v>99591</v>
      </c>
      <c r="B284" t="s">
        <v>763</v>
      </c>
      <c r="C284" t="s">
        <v>589</v>
      </c>
      <c r="E284" t="s">
        <v>200</v>
      </c>
      <c r="F284">
        <v>19</v>
      </c>
      <c r="G284">
        <v>1961</v>
      </c>
      <c r="H284">
        <v>762</v>
      </c>
      <c r="I284">
        <v>0</v>
      </c>
      <c r="J284">
        <v>0</v>
      </c>
      <c r="K284">
        <v>0</v>
      </c>
    </row>
    <row r="285" spans="1:11">
      <c r="A285">
        <v>29027</v>
      </c>
      <c r="B285" t="s">
        <v>764</v>
      </c>
      <c r="C285" t="s">
        <v>765</v>
      </c>
      <c r="E285" t="s">
        <v>475</v>
      </c>
      <c r="F285">
        <v>63</v>
      </c>
      <c r="G285">
        <v>1953</v>
      </c>
      <c r="H285">
        <v>344</v>
      </c>
      <c r="I285">
        <v>10.750999999999999</v>
      </c>
      <c r="J285">
        <v>418.762</v>
      </c>
      <c r="K285">
        <v>48</v>
      </c>
    </row>
    <row r="286" spans="1:11">
      <c r="A286">
        <v>14057</v>
      </c>
      <c r="B286" t="s">
        <v>1493</v>
      </c>
      <c r="C286" t="s">
        <v>541</v>
      </c>
      <c r="E286" t="s">
        <v>491</v>
      </c>
      <c r="F286">
        <v>21</v>
      </c>
      <c r="G286">
        <v>1988</v>
      </c>
      <c r="H286">
        <v>298</v>
      </c>
      <c r="I286">
        <v>9.0009999999999994</v>
      </c>
      <c r="J286">
        <v>586.66499999999996</v>
      </c>
      <c r="K286">
        <v>238</v>
      </c>
    </row>
    <row r="287" spans="1:11">
      <c r="A287">
        <v>15090</v>
      </c>
      <c r="B287" t="s">
        <v>1494</v>
      </c>
      <c r="C287" t="s">
        <v>564</v>
      </c>
      <c r="E287" t="s">
        <v>623</v>
      </c>
      <c r="F287">
        <v>45</v>
      </c>
      <c r="G287">
        <v>1977</v>
      </c>
      <c r="H287">
        <v>414</v>
      </c>
      <c r="I287">
        <v>5.4690000000000003</v>
      </c>
      <c r="J287">
        <v>276.53500000000003</v>
      </c>
      <c r="K287">
        <v>24</v>
      </c>
    </row>
    <row r="288" spans="1:11">
      <c r="A288">
        <v>26020</v>
      </c>
      <c r="B288" t="s">
        <v>766</v>
      </c>
      <c r="C288" t="s">
        <v>543</v>
      </c>
      <c r="E288" t="s">
        <v>1167</v>
      </c>
      <c r="F288">
        <v>56</v>
      </c>
      <c r="G288">
        <v>1990</v>
      </c>
      <c r="H288">
        <v>509</v>
      </c>
      <c r="I288">
        <v>4</v>
      </c>
      <c r="J288">
        <v>143.369</v>
      </c>
      <c r="K288">
        <v>0</v>
      </c>
    </row>
    <row r="289" spans="1:11">
      <c r="A289">
        <v>25055</v>
      </c>
      <c r="B289" t="s">
        <v>766</v>
      </c>
      <c r="C289" t="s">
        <v>700</v>
      </c>
      <c r="E289" t="s">
        <v>1167</v>
      </c>
      <c r="F289">
        <v>56</v>
      </c>
      <c r="G289">
        <v>1965</v>
      </c>
      <c r="H289">
        <v>28</v>
      </c>
      <c r="I289">
        <v>37.688000000000002</v>
      </c>
      <c r="J289">
        <v>2966.694</v>
      </c>
      <c r="K289">
        <v>1482</v>
      </c>
    </row>
    <row r="290" spans="1:11">
      <c r="A290">
        <v>29022</v>
      </c>
      <c r="B290" t="s">
        <v>767</v>
      </c>
      <c r="C290" t="s">
        <v>768</v>
      </c>
      <c r="D290" t="s">
        <v>107</v>
      </c>
      <c r="E290" t="s">
        <v>1167</v>
      </c>
      <c r="F290">
        <v>56</v>
      </c>
      <c r="G290">
        <v>1997</v>
      </c>
      <c r="H290">
        <v>763</v>
      </c>
      <c r="I290">
        <v>0</v>
      </c>
      <c r="J290">
        <v>0</v>
      </c>
      <c r="K290">
        <v>0</v>
      </c>
    </row>
    <row r="291" spans="1:11">
      <c r="A291">
        <v>24321</v>
      </c>
      <c r="B291" t="s">
        <v>769</v>
      </c>
      <c r="C291" t="s">
        <v>572</v>
      </c>
      <c r="E291" t="s">
        <v>198</v>
      </c>
      <c r="F291">
        <v>17</v>
      </c>
      <c r="G291">
        <v>1966</v>
      </c>
      <c r="H291">
        <v>304</v>
      </c>
      <c r="I291">
        <v>9.1880000000000006</v>
      </c>
      <c r="J291">
        <v>564.85599999999999</v>
      </c>
      <c r="K291">
        <v>164</v>
      </c>
    </row>
    <row r="292" spans="1:11">
      <c r="A292">
        <v>10112</v>
      </c>
      <c r="B292" t="s">
        <v>770</v>
      </c>
      <c r="C292" t="s">
        <v>771</v>
      </c>
      <c r="D292" t="s">
        <v>107</v>
      </c>
      <c r="E292" t="s">
        <v>1200</v>
      </c>
      <c r="F292">
        <v>70</v>
      </c>
      <c r="G292">
        <v>1937</v>
      </c>
      <c r="H292">
        <v>764</v>
      </c>
      <c r="I292">
        <v>0</v>
      </c>
      <c r="J292">
        <v>0</v>
      </c>
      <c r="K292">
        <v>0</v>
      </c>
    </row>
    <row r="293" spans="1:11">
      <c r="A293">
        <v>26079</v>
      </c>
      <c r="B293" t="s">
        <v>772</v>
      </c>
      <c r="C293" t="s">
        <v>534</v>
      </c>
      <c r="E293" t="s">
        <v>1197</v>
      </c>
      <c r="F293">
        <v>2</v>
      </c>
      <c r="G293">
        <v>1952</v>
      </c>
      <c r="H293">
        <v>765</v>
      </c>
      <c r="I293">
        <v>0</v>
      </c>
      <c r="J293">
        <v>0</v>
      </c>
      <c r="K293">
        <v>0</v>
      </c>
    </row>
    <row r="294" spans="1:11">
      <c r="A294">
        <v>26080</v>
      </c>
      <c r="B294" t="s">
        <v>772</v>
      </c>
      <c r="C294" t="s">
        <v>535</v>
      </c>
      <c r="E294" t="s">
        <v>1197</v>
      </c>
      <c r="F294">
        <v>2</v>
      </c>
      <c r="G294">
        <v>1978</v>
      </c>
      <c r="H294">
        <v>448</v>
      </c>
      <c r="I294">
        <v>3.125</v>
      </c>
      <c r="J294">
        <v>212.798</v>
      </c>
      <c r="K294">
        <v>84</v>
      </c>
    </row>
    <row r="295" spans="1:11">
      <c r="A295">
        <v>16107</v>
      </c>
      <c r="B295" t="s">
        <v>1495</v>
      </c>
      <c r="C295" t="s">
        <v>872</v>
      </c>
      <c r="E295" t="s">
        <v>170</v>
      </c>
      <c r="F295">
        <v>14</v>
      </c>
      <c r="G295">
        <v>1993</v>
      </c>
      <c r="H295">
        <v>152</v>
      </c>
      <c r="I295">
        <v>23.407</v>
      </c>
      <c r="J295">
        <v>1429.634</v>
      </c>
      <c r="K295">
        <v>441</v>
      </c>
    </row>
    <row r="296" spans="1:11">
      <c r="A296">
        <v>14084</v>
      </c>
      <c r="B296" t="s">
        <v>1496</v>
      </c>
      <c r="C296" t="s">
        <v>708</v>
      </c>
      <c r="E296" t="s">
        <v>1343</v>
      </c>
      <c r="F296">
        <v>79</v>
      </c>
      <c r="G296">
        <v>1983</v>
      </c>
      <c r="H296">
        <v>383</v>
      </c>
      <c r="I296">
        <v>4.1879999999999997</v>
      </c>
      <c r="J296">
        <v>337.90800000000002</v>
      </c>
      <c r="K296">
        <v>142</v>
      </c>
    </row>
    <row r="297" spans="1:11">
      <c r="A297">
        <v>13083</v>
      </c>
      <c r="B297" t="s">
        <v>1497</v>
      </c>
      <c r="C297" t="s">
        <v>564</v>
      </c>
      <c r="E297" t="s">
        <v>495</v>
      </c>
      <c r="F297">
        <v>64</v>
      </c>
      <c r="G297">
        <v>1952</v>
      </c>
      <c r="H297">
        <v>266</v>
      </c>
      <c r="I297">
        <v>12.718999999999999</v>
      </c>
      <c r="J297">
        <v>687.91099999999994</v>
      </c>
      <c r="K297">
        <v>180</v>
      </c>
    </row>
    <row r="298" spans="1:11">
      <c r="A298">
        <v>24342</v>
      </c>
      <c r="B298" t="s">
        <v>773</v>
      </c>
      <c r="C298" t="s">
        <v>552</v>
      </c>
      <c r="E298" t="s">
        <v>643</v>
      </c>
      <c r="F298">
        <v>62</v>
      </c>
      <c r="G298">
        <v>1950</v>
      </c>
      <c r="H298">
        <v>108</v>
      </c>
      <c r="I298">
        <v>24.751000000000001</v>
      </c>
      <c r="J298">
        <v>1821.9780000000001</v>
      </c>
      <c r="K298">
        <v>832</v>
      </c>
    </row>
    <row r="299" spans="1:11">
      <c r="A299">
        <v>13060</v>
      </c>
      <c r="B299" t="s">
        <v>773</v>
      </c>
      <c r="C299" t="s">
        <v>572</v>
      </c>
      <c r="E299" t="s">
        <v>477</v>
      </c>
      <c r="F299">
        <v>27</v>
      </c>
      <c r="G299">
        <v>1972</v>
      </c>
      <c r="H299">
        <v>92</v>
      </c>
      <c r="I299">
        <v>30.157</v>
      </c>
      <c r="J299">
        <v>1967.4349999999999</v>
      </c>
      <c r="K299">
        <v>866</v>
      </c>
    </row>
    <row r="300" spans="1:11">
      <c r="A300">
        <v>16143</v>
      </c>
      <c r="B300" t="s">
        <v>1498</v>
      </c>
      <c r="C300" t="s">
        <v>645</v>
      </c>
      <c r="D300" t="s">
        <v>107</v>
      </c>
      <c r="E300" t="s">
        <v>1437</v>
      </c>
      <c r="F300">
        <v>86</v>
      </c>
      <c r="G300">
        <v>1967</v>
      </c>
      <c r="H300">
        <v>502</v>
      </c>
      <c r="I300">
        <v>4.0010000000000003</v>
      </c>
      <c r="J300">
        <v>153.53299999999999</v>
      </c>
      <c r="K300">
        <v>0</v>
      </c>
    </row>
    <row r="301" spans="1:11">
      <c r="A301">
        <v>24319</v>
      </c>
      <c r="B301" t="s">
        <v>774</v>
      </c>
      <c r="C301" t="s">
        <v>552</v>
      </c>
      <c r="E301" t="s">
        <v>200</v>
      </c>
      <c r="F301">
        <v>19</v>
      </c>
      <c r="G301">
        <v>1946</v>
      </c>
      <c r="H301">
        <v>567</v>
      </c>
      <c r="I301">
        <v>1.375</v>
      </c>
      <c r="J301">
        <v>91.292000000000002</v>
      </c>
      <c r="K301">
        <v>40</v>
      </c>
    </row>
    <row r="302" spans="1:11">
      <c r="A302">
        <v>96018</v>
      </c>
      <c r="B302" t="s">
        <v>775</v>
      </c>
      <c r="C302" t="s">
        <v>563</v>
      </c>
      <c r="E302" t="s">
        <v>743</v>
      </c>
      <c r="F302">
        <v>10</v>
      </c>
      <c r="G302">
        <v>1954</v>
      </c>
      <c r="H302">
        <v>766</v>
      </c>
      <c r="I302">
        <v>0</v>
      </c>
      <c r="J302">
        <v>0</v>
      </c>
      <c r="K302">
        <v>0</v>
      </c>
    </row>
    <row r="303" spans="1:11">
      <c r="A303">
        <v>96019</v>
      </c>
      <c r="B303" t="s">
        <v>776</v>
      </c>
      <c r="C303" t="s">
        <v>777</v>
      </c>
      <c r="D303" t="s">
        <v>107</v>
      </c>
      <c r="E303" t="s">
        <v>743</v>
      </c>
      <c r="F303">
        <v>10</v>
      </c>
      <c r="G303">
        <v>1955</v>
      </c>
      <c r="H303">
        <v>767</v>
      </c>
      <c r="I303">
        <v>0</v>
      </c>
      <c r="J303">
        <v>0</v>
      </c>
      <c r="K303">
        <v>0</v>
      </c>
    </row>
    <row r="304" spans="1:11">
      <c r="A304">
        <v>14001</v>
      </c>
      <c r="B304" t="s">
        <v>778</v>
      </c>
      <c r="C304" t="s">
        <v>589</v>
      </c>
      <c r="D304" t="s">
        <v>91</v>
      </c>
      <c r="E304" t="s">
        <v>491</v>
      </c>
      <c r="F304">
        <v>21</v>
      </c>
      <c r="G304">
        <v>2004</v>
      </c>
      <c r="H304">
        <v>335</v>
      </c>
      <c r="I304">
        <v>9.4700000000000006</v>
      </c>
      <c r="J304">
        <v>454.63</v>
      </c>
      <c r="K304">
        <v>130</v>
      </c>
    </row>
    <row r="305" spans="1:11">
      <c r="A305">
        <v>25046</v>
      </c>
      <c r="B305" t="s">
        <v>778</v>
      </c>
      <c r="C305" t="s">
        <v>564</v>
      </c>
      <c r="E305" t="s">
        <v>491</v>
      </c>
      <c r="F305">
        <v>21</v>
      </c>
      <c r="G305">
        <v>1977</v>
      </c>
      <c r="H305">
        <v>180</v>
      </c>
      <c r="I305">
        <v>22.86</v>
      </c>
      <c r="J305">
        <v>1173.509</v>
      </c>
      <c r="K305">
        <v>455</v>
      </c>
    </row>
    <row r="306" spans="1:11">
      <c r="A306">
        <v>11032</v>
      </c>
      <c r="B306" t="s">
        <v>778</v>
      </c>
      <c r="C306" t="s">
        <v>649</v>
      </c>
      <c r="E306" t="s">
        <v>491</v>
      </c>
      <c r="F306">
        <v>21</v>
      </c>
      <c r="G306">
        <v>1998</v>
      </c>
      <c r="H306">
        <v>242</v>
      </c>
      <c r="I306">
        <v>12.829000000000001</v>
      </c>
      <c r="J306">
        <v>827.67200000000003</v>
      </c>
      <c r="K306">
        <v>366</v>
      </c>
    </row>
    <row r="307" spans="1:11">
      <c r="A307">
        <v>96045</v>
      </c>
      <c r="B307" t="s">
        <v>778</v>
      </c>
      <c r="C307" t="s">
        <v>650</v>
      </c>
      <c r="E307" t="s">
        <v>491</v>
      </c>
      <c r="F307">
        <v>21</v>
      </c>
      <c r="G307">
        <v>1958</v>
      </c>
      <c r="H307">
        <v>144</v>
      </c>
      <c r="I307">
        <v>30.187999999999999</v>
      </c>
      <c r="J307">
        <v>1501.711</v>
      </c>
      <c r="K307">
        <v>532</v>
      </c>
    </row>
    <row r="308" spans="1:11">
      <c r="A308">
        <v>96046</v>
      </c>
      <c r="B308" t="s">
        <v>778</v>
      </c>
      <c r="C308" t="s">
        <v>1499</v>
      </c>
      <c r="E308" t="s">
        <v>491</v>
      </c>
      <c r="F308">
        <v>21</v>
      </c>
      <c r="G308">
        <v>1952</v>
      </c>
      <c r="H308">
        <v>516</v>
      </c>
      <c r="I308">
        <v>2.234</v>
      </c>
      <c r="J308">
        <v>135.476</v>
      </c>
      <c r="K308">
        <v>48</v>
      </c>
    </row>
    <row r="309" spans="1:11">
      <c r="A309">
        <v>12074</v>
      </c>
      <c r="B309" t="s">
        <v>1225</v>
      </c>
      <c r="C309" t="s">
        <v>898</v>
      </c>
      <c r="D309" t="s">
        <v>107</v>
      </c>
      <c r="E309" t="s">
        <v>491</v>
      </c>
      <c r="F309">
        <v>21</v>
      </c>
      <c r="G309">
        <v>1974</v>
      </c>
      <c r="H309">
        <v>309</v>
      </c>
      <c r="I309">
        <v>17.484000000000002</v>
      </c>
      <c r="J309">
        <v>539.84799999999996</v>
      </c>
      <c r="K309">
        <v>104</v>
      </c>
    </row>
    <row r="310" spans="1:11">
      <c r="A310">
        <v>10144</v>
      </c>
      <c r="B310" t="s">
        <v>779</v>
      </c>
      <c r="C310" t="s">
        <v>589</v>
      </c>
      <c r="E310" t="s">
        <v>1167</v>
      </c>
      <c r="F310">
        <v>56</v>
      </c>
      <c r="G310">
        <v>1944</v>
      </c>
      <c r="H310">
        <v>236</v>
      </c>
      <c r="I310">
        <v>15.032</v>
      </c>
      <c r="J310">
        <v>844.88800000000003</v>
      </c>
      <c r="K310">
        <v>290</v>
      </c>
    </row>
    <row r="311" spans="1:11">
      <c r="A311">
        <v>11014</v>
      </c>
      <c r="B311" t="s">
        <v>780</v>
      </c>
      <c r="C311" t="s">
        <v>781</v>
      </c>
      <c r="D311" t="s">
        <v>107</v>
      </c>
      <c r="E311" t="s">
        <v>1167</v>
      </c>
      <c r="F311">
        <v>56</v>
      </c>
      <c r="G311">
        <v>1945</v>
      </c>
      <c r="H311">
        <v>296</v>
      </c>
      <c r="I311">
        <v>11.718999999999999</v>
      </c>
      <c r="J311">
        <v>597.48900000000003</v>
      </c>
      <c r="K311">
        <v>158</v>
      </c>
    </row>
    <row r="312" spans="1:11">
      <c r="A312">
        <v>24278</v>
      </c>
      <c r="B312" t="s">
        <v>782</v>
      </c>
      <c r="C312" t="s">
        <v>541</v>
      </c>
      <c r="E312" t="s">
        <v>164</v>
      </c>
      <c r="F312">
        <v>52</v>
      </c>
      <c r="G312">
        <v>1988</v>
      </c>
      <c r="H312">
        <v>768</v>
      </c>
      <c r="I312">
        <v>0</v>
      </c>
      <c r="J312">
        <v>0</v>
      </c>
      <c r="K312">
        <v>0</v>
      </c>
    </row>
    <row r="313" spans="1:11">
      <c r="A313">
        <v>24277</v>
      </c>
      <c r="B313" t="s">
        <v>782</v>
      </c>
      <c r="C313" t="s">
        <v>535</v>
      </c>
      <c r="E313" t="s">
        <v>164</v>
      </c>
      <c r="F313">
        <v>52</v>
      </c>
      <c r="G313">
        <v>1974</v>
      </c>
      <c r="H313">
        <v>192</v>
      </c>
      <c r="I313">
        <v>22.22</v>
      </c>
      <c r="J313">
        <v>1116.1510000000001</v>
      </c>
      <c r="K313">
        <v>332</v>
      </c>
    </row>
    <row r="314" spans="1:11">
      <c r="A314">
        <v>25030</v>
      </c>
      <c r="B314" t="s">
        <v>782</v>
      </c>
      <c r="C314" t="s">
        <v>621</v>
      </c>
      <c r="E314" t="s">
        <v>164</v>
      </c>
      <c r="F314">
        <v>52</v>
      </c>
      <c r="G314">
        <v>1949</v>
      </c>
      <c r="H314">
        <v>377</v>
      </c>
      <c r="I314">
        <v>4.4690000000000003</v>
      </c>
      <c r="J314">
        <v>346.029</v>
      </c>
      <c r="K314">
        <v>140</v>
      </c>
    </row>
    <row r="315" spans="1:11">
      <c r="A315">
        <v>11034</v>
      </c>
      <c r="B315" t="s">
        <v>783</v>
      </c>
      <c r="C315" t="s">
        <v>537</v>
      </c>
      <c r="D315" t="s">
        <v>107</v>
      </c>
      <c r="E315" t="s">
        <v>164</v>
      </c>
      <c r="F315">
        <v>52</v>
      </c>
      <c r="G315">
        <v>1950</v>
      </c>
      <c r="H315">
        <v>440</v>
      </c>
      <c r="I315">
        <v>4.0629999999999997</v>
      </c>
      <c r="J315">
        <v>224.92500000000001</v>
      </c>
      <c r="K315">
        <v>41</v>
      </c>
    </row>
    <row r="316" spans="1:11">
      <c r="A316">
        <v>17044</v>
      </c>
      <c r="B316" t="s">
        <v>1500</v>
      </c>
      <c r="C316" t="s">
        <v>801</v>
      </c>
      <c r="D316" t="s">
        <v>107</v>
      </c>
      <c r="E316" t="s">
        <v>497</v>
      </c>
      <c r="F316">
        <v>51</v>
      </c>
      <c r="G316">
        <v>1949</v>
      </c>
      <c r="H316">
        <v>769</v>
      </c>
      <c r="I316">
        <v>0</v>
      </c>
      <c r="J316">
        <v>0</v>
      </c>
      <c r="K316">
        <v>0</v>
      </c>
    </row>
    <row r="317" spans="1:11">
      <c r="A317">
        <v>22998</v>
      </c>
      <c r="B317" t="s">
        <v>784</v>
      </c>
      <c r="C317" t="s">
        <v>572</v>
      </c>
      <c r="E317" t="s">
        <v>172</v>
      </c>
      <c r="F317">
        <v>48</v>
      </c>
      <c r="G317">
        <v>1967</v>
      </c>
      <c r="H317">
        <v>770</v>
      </c>
      <c r="I317">
        <v>0</v>
      </c>
      <c r="J317">
        <v>0</v>
      </c>
      <c r="K317">
        <v>0</v>
      </c>
    </row>
    <row r="318" spans="1:11">
      <c r="A318">
        <v>16038</v>
      </c>
      <c r="B318" t="s">
        <v>1501</v>
      </c>
      <c r="C318" t="s">
        <v>638</v>
      </c>
      <c r="D318" t="s">
        <v>107</v>
      </c>
      <c r="E318" t="s">
        <v>1200</v>
      </c>
      <c r="F318">
        <v>70</v>
      </c>
      <c r="G318">
        <v>1942</v>
      </c>
      <c r="H318">
        <v>658</v>
      </c>
      <c r="I318">
        <v>0.70299999999999996</v>
      </c>
      <c r="J318">
        <v>30.725999999999999</v>
      </c>
      <c r="K318">
        <v>0</v>
      </c>
    </row>
    <row r="319" spans="1:11">
      <c r="A319">
        <v>25011</v>
      </c>
      <c r="B319" t="s">
        <v>785</v>
      </c>
      <c r="C319" t="s">
        <v>553</v>
      </c>
      <c r="E319" t="s">
        <v>1203</v>
      </c>
      <c r="F319">
        <v>55</v>
      </c>
      <c r="G319">
        <v>1963</v>
      </c>
      <c r="H319">
        <v>170</v>
      </c>
      <c r="I319">
        <v>20.97</v>
      </c>
      <c r="J319">
        <v>1279.2360000000001</v>
      </c>
      <c r="K319">
        <v>506</v>
      </c>
    </row>
    <row r="320" spans="1:11">
      <c r="A320">
        <v>17051</v>
      </c>
      <c r="B320" t="s">
        <v>1502</v>
      </c>
      <c r="C320" t="s">
        <v>621</v>
      </c>
      <c r="E320" t="s">
        <v>576</v>
      </c>
      <c r="F320">
        <v>73</v>
      </c>
      <c r="G320">
        <v>1942</v>
      </c>
      <c r="H320">
        <v>621</v>
      </c>
      <c r="I320">
        <v>1.5009999999999999</v>
      </c>
      <c r="J320">
        <v>50.284999999999997</v>
      </c>
      <c r="K320">
        <v>0</v>
      </c>
    </row>
    <row r="321" spans="1:11">
      <c r="A321">
        <v>23093</v>
      </c>
      <c r="B321" t="s">
        <v>786</v>
      </c>
      <c r="C321" t="s">
        <v>621</v>
      </c>
      <c r="E321" t="s">
        <v>200</v>
      </c>
      <c r="F321">
        <v>19</v>
      </c>
      <c r="G321">
        <v>1964</v>
      </c>
      <c r="H321">
        <v>662</v>
      </c>
      <c r="I321">
        <v>0.68799999999999994</v>
      </c>
      <c r="J321">
        <v>25.286000000000001</v>
      </c>
      <c r="K321">
        <v>0</v>
      </c>
    </row>
    <row r="322" spans="1:11">
      <c r="A322">
        <v>15077</v>
      </c>
      <c r="B322" t="s">
        <v>1503</v>
      </c>
      <c r="C322" t="s">
        <v>654</v>
      </c>
      <c r="D322" t="s">
        <v>107</v>
      </c>
      <c r="E322" t="s">
        <v>489</v>
      </c>
      <c r="F322">
        <v>13</v>
      </c>
      <c r="G322">
        <v>1978</v>
      </c>
      <c r="H322">
        <v>207</v>
      </c>
      <c r="I322">
        <v>14.234999999999999</v>
      </c>
      <c r="J322">
        <v>1033.0060000000001</v>
      </c>
      <c r="K322">
        <v>475</v>
      </c>
    </row>
    <row r="323" spans="1:11">
      <c r="A323">
        <v>16039</v>
      </c>
      <c r="B323" t="s">
        <v>1504</v>
      </c>
      <c r="C323" t="s">
        <v>561</v>
      </c>
      <c r="D323" t="s">
        <v>107</v>
      </c>
      <c r="E323" t="s">
        <v>1200</v>
      </c>
      <c r="F323">
        <v>70</v>
      </c>
      <c r="G323">
        <v>1934</v>
      </c>
      <c r="H323">
        <v>642</v>
      </c>
      <c r="I323">
        <v>0.875</v>
      </c>
      <c r="J323">
        <v>38.237000000000002</v>
      </c>
      <c r="K323">
        <v>0</v>
      </c>
    </row>
    <row r="324" spans="1:11">
      <c r="A324">
        <v>98307</v>
      </c>
      <c r="B324" t="s">
        <v>787</v>
      </c>
      <c r="C324" t="s">
        <v>788</v>
      </c>
      <c r="E324" t="s">
        <v>161</v>
      </c>
      <c r="F324">
        <v>30</v>
      </c>
      <c r="G324">
        <v>1979</v>
      </c>
      <c r="H324">
        <v>159</v>
      </c>
      <c r="I324">
        <v>25.187999999999999</v>
      </c>
      <c r="J324">
        <v>1343.875</v>
      </c>
      <c r="K324">
        <v>402</v>
      </c>
    </row>
    <row r="325" spans="1:11">
      <c r="A325">
        <v>11011</v>
      </c>
      <c r="B325" t="s">
        <v>789</v>
      </c>
      <c r="C325" t="s">
        <v>572</v>
      </c>
      <c r="E325" t="s">
        <v>198</v>
      </c>
      <c r="F325">
        <v>17</v>
      </c>
      <c r="G325">
        <v>1984</v>
      </c>
      <c r="H325">
        <v>32</v>
      </c>
      <c r="I325">
        <v>37.938000000000002</v>
      </c>
      <c r="J325">
        <v>2879.61</v>
      </c>
      <c r="K325">
        <v>1252</v>
      </c>
    </row>
    <row r="326" spans="1:11">
      <c r="A326">
        <v>14047</v>
      </c>
      <c r="B326" t="s">
        <v>1505</v>
      </c>
      <c r="C326" t="s">
        <v>971</v>
      </c>
      <c r="D326" t="s">
        <v>107</v>
      </c>
      <c r="E326" t="s">
        <v>1202</v>
      </c>
      <c r="F326">
        <v>76</v>
      </c>
      <c r="G326">
        <v>1952</v>
      </c>
      <c r="H326">
        <v>413</v>
      </c>
      <c r="I326">
        <v>5.2350000000000003</v>
      </c>
      <c r="J326">
        <v>278.363</v>
      </c>
      <c r="K326">
        <v>63</v>
      </c>
    </row>
    <row r="327" spans="1:11">
      <c r="A327">
        <v>17025</v>
      </c>
      <c r="B327" t="s">
        <v>1506</v>
      </c>
      <c r="C327" t="s">
        <v>551</v>
      </c>
      <c r="E327" t="s">
        <v>172</v>
      </c>
      <c r="F327">
        <v>48</v>
      </c>
      <c r="G327">
        <v>1990</v>
      </c>
      <c r="H327">
        <v>461</v>
      </c>
      <c r="I327">
        <v>4.1559999999999997</v>
      </c>
      <c r="J327">
        <v>199.84899999999999</v>
      </c>
      <c r="K327">
        <v>51</v>
      </c>
    </row>
    <row r="328" spans="1:11">
      <c r="A328">
        <v>14089</v>
      </c>
      <c r="B328" t="s">
        <v>1506</v>
      </c>
      <c r="C328" t="s">
        <v>572</v>
      </c>
      <c r="E328" t="s">
        <v>1343</v>
      </c>
      <c r="F328">
        <v>79</v>
      </c>
      <c r="G328">
        <v>1985</v>
      </c>
      <c r="H328">
        <v>771</v>
      </c>
      <c r="I328">
        <v>0</v>
      </c>
      <c r="J328">
        <v>0</v>
      </c>
      <c r="K328">
        <v>0</v>
      </c>
    </row>
    <row r="329" spans="1:11">
      <c r="A329">
        <v>27070</v>
      </c>
      <c r="B329" t="s">
        <v>790</v>
      </c>
      <c r="C329" t="s">
        <v>590</v>
      </c>
      <c r="E329" t="s">
        <v>1196</v>
      </c>
      <c r="F329">
        <v>61</v>
      </c>
      <c r="G329">
        <v>1982</v>
      </c>
      <c r="H329">
        <v>353</v>
      </c>
      <c r="I329">
        <v>11.891</v>
      </c>
      <c r="J329">
        <v>391.89</v>
      </c>
      <c r="K329">
        <v>85</v>
      </c>
    </row>
    <row r="330" spans="1:11">
      <c r="A330">
        <v>99590</v>
      </c>
      <c r="B330" t="s">
        <v>791</v>
      </c>
      <c r="C330" t="s">
        <v>690</v>
      </c>
      <c r="E330" t="s">
        <v>200</v>
      </c>
      <c r="F330">
        <v>19</v>
      </c>
      <c r="G330">
        <v>1961</v>
      </c>
      <c r="H330">
        <v>71</v>
      </c>
      <c r="I330">
        <v>34.75</v>
      </c>
      <c r="J330">
        <v>2169.9290000000001</v>
      </c>
      <c r="K330">
        <v>906</v>
      </c>
    </row>
    <row r="331" spans="1:11">
      <c r="A331">
        <v>11041</v>
      </c>
      <c r="B331" t="s">
        <v>792</v>
      </c>
      <c r="C331" t="s">
        <v>707</v>
      </c>
      <c r="D331" t="s">
        <v>655</v>
      </c>
      <c r="E331" t="s">
        <v>501</v>
      </c>
      <c r="F331">
        <v>1</v>
      </c>
      <c r="G331">
        <v>2002</v>
      </c>
      <c r="H331">
        <v>429</v>
      </c>
      <c r="I331">
        <v>5.6559999999999997</v>
      </c>
      <c r="J331">
        <v>255.83699999999999</v>
      </c>
      <c r="K331">
        <v>39</v>
      </c>
    </row>
    <row r="332" spans="1:11">
      <c r="A332">
        <v>14103</v>
      </c>
      <c r="B332" t="s">
        <v>1507</v>
      </c>
      <c r="C332" t="s">
        <v>534</v>
      </c>
      <c r="E332" t="s">
        <v>1205</v>
      </c>
      <c r="F332">
        <v>74</v>
      </c>
      <c r="G332">
        <v>1958</v>
      </c>
      <c r="H332">
        <v>772</v>
      </c>
      <c r="I332">
        <v>0</v>
      </c>
      <c r="J332">
        <v>0</v>
      </c>
      <c r="K332">
        <v>0</v>
      </c>
    </row>
    <row r="333" spans="1:11">
      <c r="A333">
        <v>27003</v>
      </c>
      <c r="B333" t="s">
        <v>793</v>
      </c>
      <c r="C333" t="s">
        <v>553</v>
      </c>
      <c r="E333" t="s">
        <v>557</v>
      </c>
      <c r="F333">
        <v>59</v>
      </c>
      <c r="G333">
        <v>1987</v>
      </c>
      <c r="H333">
        <v>773</v>
      </c>
      <c r="I333">
        <v>0</v>
      </c>
      <c r="J333">
        <v>0</v>
      </c>
      <c r="K333">
        <v>0</v>
      </c>
    </row>
    <row r="334" spans="1:11">
      <c r="A334">
        <v>11060</v>
      </c>
      <c r="B334" t="s">
        <v>794</v>
      </c>
      <c r="C334" t="s">
        <v>740</v>
      </c>
      <c r="E334" t="s">
        <v>477</v>
      </c>
      <c r="F334">
        <v>27</v>
      </c>
      <c r="G334">
        <v>1967</v>
      </c>
      <c r="H334">
        <v>510</v>
      </c>
      <c r="I334">
        <v>3.1560000000000001</v>
      </c>
      <c r="J334">
        <v>138.20500000000001</v>
      </c>
      <c r="K334">
        <v>15</v>
      </c>
    </row>
    <row r="335" spans="1:11">
      <c r="A335">
        <v>25087</v>
      </c>
      <c r="B335" t="s">
        <v>795</v>
      </c>
      <c r="C335" t="s">
        <v>659</v>
      </c>
      <c r="D335" t="s">
        <v>107</v>
      </c>
      <c r="E335" t="s">
        <v>477</v>
      </c>
      <c r="F335">
        <v>27</v>
      </c>
      <c r="G335">
        <v>1970</v>
      </c>
      <c r="H335">
        <v>202</v>
      </c>
      <c r="I335">
        <v>12.843999999999999</v>
      </c>
      <c r="J335">
        <v>1070.5899999999999</v>
      </c>
      <c r="K335">
        <v>514</v>
      </c>
    </row>
    <row r="336" spans="1:11">
      <c r="A336">
        <v>13029</v>
      </c>
      <c r="B336" t="s">
        <v>1226</v>
      </c>
      <c r="C336" t="s">
        <v>534</v>
      </c>
      <c r="E336" t="s">
        <v>1202</v>
      </c>
      <c r="F336">
        <v>76</v>
      </c>
      <c r="G336">
        <v>1961</v>
      </c>
      <c r="H336">
        <v>117</v>
      </c>
      <c r="I336">
        <v>26.032</v>
      </c>
      <c r="J336">
        <v>1744.836</v>
      </c>
      <c r="K336">
        <v>751</v>
      </c>
    </row>
    <row r="337" spans="1:11">
      <c r="A337">
        <v>11038</v>
      </c>
      <c r="B337" t="s">
        <v>796</v>
      </c>
      <c r="C337" t="s">
        <v>797</v>
      </c>
      <c r="E337" t="s">
        <v>501</v>
      </c>
      <c r="F337">
        <v>1</v>
      </c>
      <c r="G337">
        <v>1979</v>
      </c>
      <c r="H337">
        <v>49</v>
      </c>
      <c r="I337">
        <v>28.25</v>
      </c>
      <c r="J337">
        <v>2556.2399999999998</v>
      </c>
      <c r="K337">
        <v>1251</v>
      </c>
    </row>
    <row r="338" spans="1:11">
      <c r="A338">
        <v>28007</v>
      </c>
      <c r="B338" t="s">
        <v>798</v>
      </c>
      <c r="C338" t="s">
        <v>679</v>
      </c>
      <c r="E338" t="s">
        <v>170</v>
      </c>
      <c r="F338">
        <v>14</v>
      </c>
      <c r="G338">
        <v>1993</v>
      </c>
      <c r="H338">
        <v>11</v>
      </c>
      <c r="I338">
        <v>46.5</v>
      </c>
      <c r="J338">
        <v>3486.1370000000002</v>
      </c>
      <c r="K338">
        <v>1629</v>
      </c>
    </row>
    <row r="339" spans="1:11">
      <c r="A339">
        <v>14023</v>
      </c>
      <c r="B339" t="s">
        <v>1508</v>
      </c>
      <c r="C339" t="s">
        <v>535</v>
      </c>
      <c r="E339" t="s">
        <v>1203</v>
      </c>
      <c r="F339">
        <v>55</v>
      </c>
      <c r="G339">
        <v>1960</v>
      </c>
      <c r="H339">
        <v>774</v>
      </c>
      <c r="I339">
        <v>0</v>
      </c>
      <c r="J339">
        <v>0</v>
      </c>
      <c r="K339">
        <v>0</v>
      </c>
    </row>
    <row r="340" spans="1:11">
      <c r="A340">
        <v>96115</v>
      </c>
      <c r="B340" t="s">
        <v>799</v>
      </c>
      <c r="C340" t="s">
        <v>589</v>
      </c>
      <c r="E340" t="s">
        <v>484</v>
      </c>
      <c r="F340">
        <v>7</v>
      </c>
      <c r="G340">
        <v>1969</v>
      </c>
      <c r="H340">
        <v>677</v>
      </c>
      <c r="I340">
        <v>0.81299999999999994</v>
      </c>
      <c r="J340">
        <v>18.507999999999999</v>
      </c>
      <c r="K340">
        <v>0</v>
      </c>
    </row>
    <row r="341" spans="1:11">
      <c r="A341">
        <v>13020</v>
      </c>
      <c r="B341" t="s">
        <v>800</v>
      </c>
      <c r="C341" t="s">
        <v>801</v>
      </c>
      <c r="D341" t="s">
        <v>107</v>
      </c>
      <c r="E341" t="s">
        <v>1170</v>
      </c>
      <c r="F341">
        <v>75</v>
      </c>
      <c r="G341">
        <v>1961</v>
      </c>
      <c r="H341">
        <v>597</v>
      </c>
      <c r="I341">
        <v>1.0629999999999999</v>
      </c>
      <c r="J341">
        <v>70.114000000000004</v>
      </c>
      <c r="K341">
        <v>27</v>
      </c>
    </row>
    <row r="342" spans="1:11">
      <c r="A342">
        <v>10139</v>
      </c>
      <c r="B342" t="s">
        <v>802</v>
      </c>
      <c r="C342" t="s">
        <v>564</v>
      </c>
      <c r="E342" t="s">
        <v>170</v>
      </c>
      <c r="F342">
        <v>14</v>
      </c>
      <c r="G342">
        <v>1946</v>
      </c>
      <c r="H342">
        <v>113</v>
      </c>
      <c r="I342">
        <v>24.376000000000001</v>
      </c>
      <c r="J342">
        <v>1774.163</v>
      </c>
      <c r="K342">
        <v>905</v>
      </c>
    </row>
    <row r="343" spans="1:11">
      <c r="A343">
        <v>12047</v>
      </c>
      <c r="B343" t="s">
        <v>803</v>
      </c>
      <c r="C343" t="s">
        <v>804</v>
      </c>
      <c r="D343" t="s">
        <v>107</v>
      </c>
      <c r="E343" t="s">
        <v>170</v>
      </c>
      <c r="F343">
        <v>14</v>
      </c>
      <c r="G343">
        <v>1947</v>
      </c>
      <c r="H343">
        <v>114</v>
      </c>
      <c r="I343">
        <v>23.751000000000001</v>
      </c>
      <c r="J343">
        <v>1774.163</v>
      </c>
      <c r="K343">
        <v>905</v>
      </c>
    </row>
    <row r="344" spans="1:11">
      <c r="A344">
        <v>17022</v>
      </c>
      <c r="B344" t="s">
        <v>803</v>
      </c>
      <c r="C344" t="s">
        <v>905</v>
      </c>
      <c r="D344" t="s">
        <v>107</v>
      </c>
      <c r="E344" t="s">
        <v>623</v>
      </c>
      <c r="F344">
        <v>45</v>
      </c>
      <c r="G344">
        <v>1969</v>
      </c>
      <c r="H344">
        <v>676</v>
      </c>
      <c r="I344">
        <v>0.56299999999999994</v>
      </c>
      <c r="J344">
        <v>20.451000000000001</v>
      </c>
      <c r="K344">
        <v>0</v>
      </c>
    </row>
    <row r="345" spans="1:11">
      <c r="A345">
        <v>27039</v>
      </c>
      <c r="B345" t="s">
        <v>805</v>
      </c>
      <c r="C345" t="s">
        <v>736</v>
      </c>
      <c r="E345" t="s">
        <v>200</v>
      </c>
      <c r="F345">
        <v>19</v>
      </c>
      <c r="G345">
        <v>1966</v>
      </c>
      <c r="H345">
        <v>9</v>
      </c>
      <c r="I345">
        <v>49.5</v>
      </c>
      <c r="J345">
        <v>3688.6759999999999</v>
      </c>
      <c r="K345">
        <v>1738</v>
      </c>
    </row>
    <row r="346" spans="1:11">
      <c r="A346">
        <v>27040</v>
      </c>
      <c r="B346" t="s">
        <v>806</v>
      </c>
      <c r="C346" t="s">
        <v>614</v>
      </c>
      <c r="D346" t="s">
        <v>107</v>
      </c>
      <c r="E346" t="s">
        <v>472</v>
      </c>
      <c r="F346">
        <v>54</v>
      </c>
      <c r="G346">
        <v>1975</v>
      </c>
      <c r="H346">
        <v>518</v>
      </c>
      <c r="I346">
        <v>3.0310000000000001</v>
      </c>
      <c r="J346">
        <v>131.46700000000001</v>
      </c>
      <c r="K346">
        <v>0</v>
      </c>
    </row>
    <row r="347" spans="1:11">
      <c r="A347">
        <v>10080</v>
      </c>
      <c r="B347" t="s">
        <v>807</v>
      </c>
      <c r="C347" t="s">
        <v>808</v>
      </c>
      <c r="E347" t="s">
        <v>487</v>
      </c>
      <c r="F347">
        <v>69</v>
      </c>
      <c r="G347">
        <v>1960</v>
      </c>
      <c r="H347">
        <v>646</v>
      </c>
      <c r="I347">
        <v>1.25</v>
      </c>
      <c r="J347">
        <v>36.552999999999997</v>
      </c>
      <c r="K347">
        <v>0</v>
      </c>
    </row>
    <row r="348" spans="1:11">
      <c r="A348">
        <v>17041</v>
      </c>
      <c r="B348" t="s">
        <v>1509</v>
      </c>
      <c r="C348" t="s">
        <v>537</v>
      </c>
      <c r="D348" t="s">
        <v>107</v>
      </c>
      <c r="E348" t="s">
        <v>472</v>
      </c>
      <c r="F348">
        <v>54</v>
      </c>
      <c r="G348">
        <v>1956</v>
      </c>
      <c r="H348">
        <v>775</v>
      </c>
      <c r="I348">
        <v>0</v>
      </c>
      <c r="J348">
        <v>0</v>
      </c>
      <c r="K348">
        <v>0</v>
      </c>
    </row>
    <row r="349" spans="1:11">
      <c r="A349">
        <v>16029</v>
      </c>
      <c r="B349" t="s">
        <v>1510</v>
      </c>
      <c r="C349" t="s">
        <v>880</v>
      </c>
      <c r="D349" t="s">
        <v>107</v>
      </c>
      <c r="E349" t="s">
        <v>1343</v>
      </c>
      <c r="F349">
        <v>79</v>
      </c>
      <c r="G349">
        <v>1982</v>
      </c>
      <c r="H349">
        <v>466</v>
      </c>
      <c r="I349">
        <v>2.25</v>
      </c>
      <c r="J349">
        <v>195.37700000000001</v>
      </c>
      <c r="K349">
        <v>91</v>
      </c>
    </row>
    <row r="350" spans="1:11">
      <c r="A350">
        <v>28034</v>
      </c>
      <c r="B350" t="s">
        <v>809</v>
      </c>
      <c r="C350" t="s">
        <v>810</v>
      </c>
      <c r="D350" t="s">
        <v>107</v>
      </c>
      <c r="E350" t="s">
        <v>623</v>
      </c>
      <c r="F350">
        <v>45</v>
      </c>
      <c r="G350">
        <v>1961</v>
      </c>
      <c r="H350">
        <v>306</v>
      </c>
      <c r="I350">
        <v>7.5</v>
      </c>
      <c r="J350">
        <v>553.49699999999996</v>
      </c>
      <c r="K350">
        <v>213</v>
      </c>
    </row>
    <row r="351" spans="1:11">
      <c r="A351">
        <v>16119</v>
      </c>
      <c r="B351" t="s">
        <v>1511</v>
      </c>
      <c r="C351" t="s">
        <v>1512</v>
      </c>
      <c r="D351" t="s">
        <v>107</v>
      </c>
      <c r="E351" t="s">
        <v>1343</v>
      </c>
      <c r="F351">
        <v>79</v>
      </c>
      <c r="G351">
        <v>1983</v>
      </c>
      <c r="H351">
        <v>607</v>
      </c>
      <c r="I351">
        <v>0.75</v>
      </c>
      <c r="J351">
        <v>63.889000000000003</v>
      </c>
      <c r="K351">
        <v>28</v>
      </c>
    </row>
    <row r="352" spans="1:11">
      <c r="A352">
        <v>10151</v>
      </c>
      <c r="B352" t="s">
        <v>1513</v>
      </c>
      <c r="C352" t="s">
        <v>1514</v>
      </c>
      <c r="E352" t="s">
        <v>1197</v>
      </c>
      <c r="F352">
        <v>2</v>
      </c>
      <c r="G352">
        <v>1963</v>
      </c>
      <c r="H352">
        <v>444</v>
      </c>
      <c r="I352">
        <v>2.609</v>
      </c>
      <c r="J352">
        <v>219.56899999999999</v>
      </c>
      <c r="K352">
        <v>102</v>
      </c>
    </row>
    <row r="353" spans="1:11">
      <c r="A353">
        <v>15017</v>
      </c>
      <c r="B353" t="s">
        <v>1515</v>
      </c>
      <c r="C353" t="s">
        <v>1492</v>
      </c>
      <c r="D353" t="s">
        <v>107</v>
      </c>
      <c r="E353" t="s">
        <v>472</v>
      </c>
      <c r="F353">
        <v>54</v>
      </c>
      <c r="G353">
        <v>1953</v>
      </c>
      <c r="H353">
        <v>604</v>
      </c>
      <c r="I353">
        <v>1.5</v>
      </c>
      <c r="J353">
        <v>65.150000000000006</v>
      </c>
      <c r="K353">
        <v>0</v>
      </c>
    </row>
    <row r="354" spans="1:11">
      <c r="A354">
        <v>17011</v>
      </c>
      <c r="B354" t="s">
        <v>1516</v>
      </c>
      <c r="C354" t="s">
        <v>771</v>
      </c>
      <c r="D354" t="s">
        <v>107</v>
      </c>
      <c r="E354" t="s">
        <v>1419</v>
      </c>
      <c r="F354">
        <v>84</v>
      </c>
      <c r="G354">
        <v>1948</v>
      </c>
      <c r="H354">
        <v>776</v>
      </c>
      <c r="I354">
        <v>0</v>
      </c>
      <c r="J354">
        <v>0</v>
      </c>
      <c r="K354">
        <v>0</v>
      </c>
    </row>
    <row r="355" spans="1:11">
      <c r="A355">
        <v>14099</v>
      </c>
      <c r="B355" t="s">
        <v>1517</v>
      </c>
      <c r="C355" t="s">
        <v>973</v>
      </c>
      <c r="E355" t="s">
        <v>164</v>
      </c>
      <c r="F355">
        <v>52</v>
      </c>
      <c r="G355">
        <v>1982</v>
      </c>
      <c r="H355">
        <v>221</v>
      </c>
      <c r="I355">
        <v>17.47</v>
      </c>
      <c r="J355">
        <v>934.255</v>
      </c>
      <c r="K355">
        <v>290</v>
      </c>
    </row>
    <row r="356" spans="1:11">
      <c r="A356">
        <v>14026</v>
      </c>
      <c r="B356" t="s">
        <v>1518</v>
      </c>
      <c r="C356" t="s">
        <v>645</v>
      </c>
      <c r="D356" t="s">
        <v>107</v>
      </c>
      <c r="E356" t="s">
        <v>200</v>
      </c>
      <c r="F356">
        <v>19</v>
      </c>
      <c r="G356">
        <v>1953</v>
      </c>
      <c r="H356">
        <v>442</v>
      </c>
      <c r="I356">
        <v>3.9079999999999999</v>
      </c>
      <c r="J356">
        <v>223.54400000000001</v>
      </c>
      <c r="K356">
        <v>55</v>
      </c>
    </row>
    <row r="357" spans="1:11">
      <c r="A357">
        <v>14077</v>
      </c>
      <c r="B357" t="s">
        <v>1519</v>
      </c>
      <c r="C357" t="s">
        <v>608</v>
      </c>
      <c r="E357" t="s">
        <v>1343</v>
      </c>
      <c r="F357">
        <v>79</v>
      </c>
      <c r="G357">
        <v>1989</v>
      </c>
      <c r="H357">
        <v>550</v>
      </c>
      <c r="I357">
        <v>1.125</v>
      </c>
      <c r="J357">
        <v>100.577</v>
      </c>
      <c r="K357">
        <v>50</v>
      </c>
    </row>
    <row r="358" spans="1:11">
      <c r="A358">
        <v>14076</v>
      </c>
      <c r="B358" t="s">
        <v>1519</v>
      </c>
      <c r="C358" t="s">
        <v>553</v>
      </c>
      <c r="E358" t="s">
        <v>1343</v>
      </c>
      <c r="F358">
        <v>79</v>
      </c>
      <c r="G358">
        <v>1985</v>
      </c>
      <c r="H358">
        <v>44</v>
      </c>
      <c r="I358">
        <v>43.25</v>
      </c>
      <c r="J358">
        <v>2703.1750000000002</v>
      </c>
      <c r="K358">
        <v>1251</v>
      </c>
    </row>
    <row r="359" spans="1:11">
      <c r="A359">
        <v>10038</v>
      </c>
      <c r="B359" t="s">
        <v>811</v>
      </c>
      <c r="C359" t="s">
        <v>558</v>
      </c>
      <c r="E359" t="s">
        <v>681</v>
      </c>
      <c r="F359">
        <v>68</v>
      </c>
      <c r="G359">
        <v>1976</v>
      </c>
      <c r="H359">
        <v>312</v>
      </c>
      <c r="I359">
        <v>3.7349999999999999</v>
      </c>
      <c r="J359">
        <v>531.31799999999998</v>
      </c>
      <c r="K359">
        <v>341</v>
      </c>
    </row>
    <row r="360" spans="1:11">
      <c r="A360">
        <v>17033</v>
      </c>
      <c r="B360" t="s">
        <v>1520</v>
      </c>
      <c r="C360" t="s">
        <v>1521</v>
      </c>
      <c r="D360" t="s">
        <v>91</v>
      </c>
      <c r="E360" t="s">
        <v>501</v>
      </c>
      <c r="F360">
        <v>1</v>
      </c>
      <c r="G360">
        <v>2009</v>
      </c>
      <c r="H360">
        <v>653</v>
      </c>
      <c r="I360">
        <v>0.68799999999999994</v>
      </c>
      <c r="J360">
        <v>31.731999999999999</v>
      </c>
      <c r="K360">
        <v>0</v>
      </c>
    </row>
    <row r="361" spans="1:11">
      <c r="A361">
        <v>17034</v>
      </c>
      <c r="B361" t="s">
        <v>1522</v>
      </c>
      <c r="C361" t="s">
        <v>707</v>
      </c>
      <c r="D361" t="s">
        <v>107</v>
      </c>
      <c r="E361" t="s">
        <v>501</v>
      </c>
      <c r="F361">
        <v>1</v>
      </c>
      <c r="G361">
        <v>1981</v>
      </c>
      <c r="H361">
        <v>654</v>
      </c>
      <c r="I361">
        <v>0.68799999999999994</v>
      </c>
      <c r="J361">
        <v>31.731999999999999</v>
      </c>
      <c r="K361">
        <v>0</v>
      </c>
    </row>
    <row r="362" spans="1:11">
      <c r="A362">
        <v>23029</v>
      </c>
      <c r="B362" t="s">
        <v>812</v>
      </c>
      <c r="C362" t="s">
        <v>813</v>
      </c>
      <c r="E362" t="s">
        <v>170</v>
      </c>
      <c r="F362">
        <v>14</v>
      </c>
      <c r="G362">
        <v>1967</v>
      </c>
      <c r="H362">
        <v>275</v>
      </c>
      <c r="I362">
        <v>13.563000000000001</v>
      </c>
      <c r="J362">
        <v>669.976</v>
      </c>
      <c r="K362">
        <v>164</v>
      </c>
    </row>
    <row r="363" spans="1:11">
      <c r="A363">
        <v>21759</v>
      </c>
      <c r="B363" t="s">
        <v>814</v>
      </c>
      <c r="C363" t="s">
        <v>597</v>
      </c>
      <c r="E363" t="s">
        <v>550</v>
      </c>
      <c r="F363">
        <v>29</v>
      </c>
      <c r="G363">
        <v>1963</v>
      </c>
      <c r="H363">
        <v>488</v>
      </c>
      <c r="I363">
        <v>5.2510000000000003</v>
      </c>
      <c r="J363">
        <v>170.12899999999999</v>
      </c>
      <c r="K363">
        <v>15</v>
      </c>
    </row>
    <row r="364" spans="1:11">
      <c r="A364">
        <v>24341</v>
      </c>
      <c r="B364" t="s">
        <v>815</v>
      </c>
      <c r="C364" t="s">
        <v>629</v>
      </c>
      <c r="D364" t="s">
        <v>107</v>
      </c>
      <c r="E364" t="s">
        <v>470</v>
      </c>
      <c r="F364">
        <v>20</v>
      </c>
      <c r="G364">
        <v>1979</v>
      </c>
      <c r="H364">
        <v>777</v>
      </c>
      <c r="I364">
        <v>0</v>
      </c>
      <c r="J364">
        <v>0</v>
      </c>
      <c r="K364">
        <v>0</v>
      </c>
    </row>
    <row r="365" spans="1:11">
      <c r="A365">
        <v>16019</v>
      </c>
      <c r="B365" t="s">
        <v>1523</v>
      </c>
      <c r="C365" t="s">
        <v>539</v>
      </c>
      <c r="D365" t="s">
        <v>107</v>
      </c>
      <c r="E365" t="s">
        <v>1424</v>
      </c>
      <c r="F365">
        <v>28</v>
      </c>
      <c r="G365">
        <v>1954</v>
      </c>
      <c r="H365">
        <v>529</v>
      </c>
      <c r="I365">
        <v>3.5009999999999999</v>
      </c>
      <c r="J365">
        <v>121.28400000000001</v>
      </c>
      <c r="K365">
        <v>0</v>
      </c>
    </row>
    <row r="366" spans="1:11">
      <c r="A366">
        <v>16079</v>
      </c>
      <c r="B366" t="s">
        <v>1524</v>
      </c>
      <c r="C366" t="s">
        <v>1525</v>
      </c>
      <c r="D366" t="s">
        <v>107</v>
      </c>
      <c r="E366" t="s">
        <v>1419</v>
      </c>
      <c r="F366">
        <v>84</v>
      </c>
      <c r="G366">
        <v>1943</v>
      </c>
      <c r="H366">
        <v>471</v>
      </c>
      <c r="I366">
        <v>4.0170000000000003</v>
      </c>
      <c r="J366">
        <v>192.39599999999999</v>
      </c>
      <c r="K366">
        <v>35</v>
      </c>
    </row>
    <row r="367" spans="1:11">
      <c r="A367">
        <v>13012</v>
      </c>
      <c r="B367" t="s">
        <v>1227</v>
      </c>
      <c r="C367" t="s">
        <v>641</v>
      </c>
      <c r="E367" t="s">
        <v>1170</v>
      </c>
      <c r="F367">
        <v>75</v>
      </c>
      <c r="G367">
        <v>1971</v>
      </c>
      <c r="H367">
        <v>778</v>
      </c>
      <c r="I367">
        <v>0</v>
      </c>
      <c r="J367">
        <v>0</v>
      </c>
      <c r="K367">
        <v>0</v>
      </c>
    </row>
    <row r="368" spans="1:11">
      <c r="A368">
        <v>13013</v>
      </c>
      <c r="B368" t="s">
        <v>1227</v>
      </c>
      <c r="C368" t="s">
        <v>758</v>
      </c>
      <c r="D368" t="s">
        <v>91</v>
      </c>
      <c r="E368" t="s">
        <v>1170</v>
      </c>
      <c r="F368">
        <v>75</v>
      </c>
      <c r="G368">
        <v>2003</v>
      </c>
      <c r="H368">
        <v>779</v>
      </c>
      <c r="I368">
        <v>0</v>
      </c>
      <c r="J368">
        <v>0</v>
      </c>
      <c r="K368">
        <v>0</v>
      </c>
    </row>
    <row r="369" spans="1:11">
      <c r="A369">
        <v>25020</v>
      </c>
      <c r="B369" t="s">
        <v>817</v>
      </c>
      <c r="C369" t="s">
        <v>535</v>
      </c>
      <c r="E369" t="s">
        <v>550</v>
      </c>
      <c r="F369">
        <v>29</v>
      </c>
      <c r="G369">
        <v>1991</v>
      </c>
      <c r="H369">
        <v>780</v>
      </c>
      <c r="I369">
        <v>0</v>
      </c>
      <c r="J369">
        <v>0</v>
      </c>
      <c r="K369">
        <v>0</v>
      </c>
    </row>
    <row r="370" spans="1:11">
      <c r="A370">
        <v>24235</v>
      </c>
      <c r="B370" t="s">
        <v>818</v>
      </c>
      <c r="C370" t="s">
        <v>539</v>
      </c>
      <c r="D370" t="s">
        <v>107</v>
      </c>
      <c r="E370" t="s">
        <v>1221</v>
      </c>
      <c r="F370">
        <v>15</v>
      </c>
      <c r="G370">
        <v>1995</v>
      </c>
      <c r="H370">
        <v>115</v>
      </c>
      <c r="I370">
        <v>31.25</v>
      </c>
      <c r="J370">
        <v>1773.3489999999999</v>
      </c>
      <c r="K370">
        <v>538</v>
      </c>
    </row>
    <row r="371" spans="1:11">
      <c r="A371">
        <v>98312</v>
      </c>
      <c r="B371" t="s">
        <v>818</v>
      </c>
      <c r="C371" t="s">
        <v>819</v>
      </c>
      <c r="D371" t="s">
        <v>107</v>
      </c>
      <c r="E371" t="s">
        <v>1221</v>
      </c>
      <c r="F371">
        <v>15</v>
      </c>
      <c r="G371">
        <v>1967</v>
      </c>
      <c r="H371">
        <v>227</v>
      </c>
      <c r="I371">
        <v>14.047000000000001</v>
      </c>
      <c r="J371">
        <v>892.44600000000003</v>
      </c>
      <c r="K371">
        <v>350</v>
      </c>
    </row>
    <row r="372" spans="1:11">
      <c r="A372">
        <v>98488</v>
      </c>
      <c r="B372" t="s">
        <v>820</v>
      </c>
      <c r="C372" t="s">
        <v>821</v>
      </c>
      <c r="E372" t="s">
        <v>1221</v>
      </c>
      <c r="F372">
        <v>15</v>
      </c>
      <c r="G372">
        <v>1988</v>
      </c>
      <c r="H372">
        <v>781</v>
      </c>
      <c r="I372">
        <v>0</v>
      </c>
      <c r="J372">
        <v>0</v>
      </c>
      <c r="K372">
        <v>0</v>
      </c>
    </row>
    <row r="373" spans="1:11">
      <c r="A373">
        <v>98311</v>
      </c>
      <c r="B373" t="s">
        <v>820</v>
      </c>
      <c r="C373" t="s">
        <v>535</v>
      </c>
      <c r="E373" t="s">
        <v>1221</v>
      </c>
      <c r="F373">
        <v>15</v>
      </c>
      <c r="G373">
        <v>1965</v>
      </c>
      <c r="H373">
        <v>228</v>
      </c>
      <c r="I373">
        <v>13.797000000000001</v>
      </c>
      <c r="J373">
        <v>884.60699999999997</v>
      </c>
      <c r="K373">
        <v>350</v>
      </c>
    </row>
    <row r="374" spans="1:11">
      <c r="A374">
        <v>27025</v>
      </c>
      <c r="B374" t="s">
        <v>822</v>
      </c>
      <c r="C374" t="s">
        <v>531</v>
      </c>
      <c r="E374" t="s">
        <v>1195</v>
      </c>
      <c r="F374">
        <v>44</v>
      </c>
      <c r="G374">
        <v>1985</v>
      </c>
      <c r="H374">
        <v>520</v>
      </c>
      <c r="I374">
        <v>1.25</v>
      </c>
      <c r="J374">
        <v>130.09200000000001</v>
      </c>
      <c r="K374">
        <v>69</v>
      </c>
    </row>
    <row r="375" spans="1:11">
      <c r="A375">
        <v>25033</v>
      </c>
      <c r="B375" t="s">
        <v>822</v>
      </c>
      <c r="C375" t="s">
        <v>597</v>
      </c>
      <c r="E375" t="s">
        <v>1206</v>
      </c>
      <c r="F375">
        <v>24</v>
      </c>
      <c r="G375">
        <v>1963</v>
      </c>
      <c r="H375">
        <v>559</v>
      </c>
      <c r="I375">
        <v>1</v>
      </c>
      <c r="J375">
        <v>95.573999999999998</v>
      </c>
      <c r="K375">
        <v>48</v>
      </c>
    </row>
    <row r="376" spans="1:11">
      <c r="A376">
        <v>26075</v>
      </c>
      <c r="B376" t="s">
        <v>823</v>
      </c>
      <c r="C376" t="s">
        <v>531</v>
      </c>
      <c r="E376" t="s">
        <v>1206</v>
      </c>
      <c r="F376">
        <v>24</v>
      </c>
      <c r="G376">
        <v>1985</v>
      </c>
      <c r="H376">
        <v>1</v>
      </c>
      <c r="I376">
        <v>61</v>
      </c>
      <c r="J376">
        <v>4577.0709999999999</v>
      </c>
      <c r="K376">
        <v>1894</v>
      </c>
    </row>
    <row r="377" spans="1:11">
      <c r="A377">
        <v>16106</v>
      </c>
      <c r="B377" t="s">
        <v>823</v>
      </c>
      <c r="C377" t="s">
        <v>1526</v>
      </c>
      <c r="D377" t="s">
        <v>91</v>
      </c>
      <c r="E377" t="s">
        <v>570</v>
      </c>
      <c r="F377">
        <v>16</v>
      </c>
      <c r="G377">
        <v>2004</v>
      </c>
      <c r="H377">
        <v>142</v>
      </c>
      <c r="I377">
        <v>33</v>
      </c>
      <c r="J377">
        <v>1504.2860000000001</v>
      </c>
      <c r="K377">
        <v>315</v>
      </c>
    </row>
    <row r="378" spans="1:11">
      <c r="A378">
        <v>17035</v>
      </c>
      <c r="B378" t="s">
        <v>1527</v>
      </c>
      <c r="C378" t="s">
        <v>846</v>
      </c>
      <c r="D378" t="s">
        <v>107</v>
      </c>
      <c r="E378" t="s">
        <v>1170</v>
      </c>
      <c r="F378">
        <v>75</v>
      </c>
      <c r="G378">
        <v>1968</v>
      </c>
      <c r="H378">
        <v>433</v>
      </c>
      <c r="I378">
        <v>6.0629999999999997</v>
      </c>
      <c r="J378">
        <v>247.048</v>
      </c>
      <c r="K378">
        <v>0</v>
      </c>
    </row>
    <row r="379" spans="1:11">
      <c r="A379">
        <v>15018</v>
      </c>
      <c r="B379" t="s">
        <v>1528</v>
      </c>
      <c r="C379" t="s">
        <v>1529</v>
      </c>
      <c r="D379" t="s">
        <v>107</v>
      </c>
      <c r="E379" t="s">
        <v>472</v>
      </c>
      <c r="F379">
        <v>54</v>
      </c>
      <c r="G379">
        <v>1949</v>
      </c>
      <c r="H379">
        <v>530</v>
      </c>
      <c r="I379">
        <v>2.2109999999999999</v>
      </c>
      <c r="J379">
        <v>119.65300000000001</v>
      </c>
      <c r="K379">
        <v>20</v>
      </c>
    </row>
    <row r="380" spans="1:11">
      <c r="A380">
        <v>15035</v>
      </c>
      <c r="B380" t="s">
        <v>824</v>
      </c>
      <c r="C380" t="s">
        <v>549</v>
      </c>
      <c r="D380" t="s">
        <v>91</v>
      </c>
      <c r="E380" t="s">
        <v>1397</v>
      </c>
      <c r="F380">
        <v>6</v>
      </c>
      <c r="G380">
        <v>2002</v>
      </c>
      <c r="H380">
        <v>782</v>
      </c>
      <c r="I380">
        <v>0</v>
      </c>
      <c r="J380">
        <v>0</v>
      </c>
      <c r="K380">
        <v>0</v>
      </c>
    </row>
    <row r="381" spans="1:11">
      <c r="A381">
        <v>97291</v>
      </c>
      <c r="B381" t="s">
        <v>824</v>
      </c>
      <c r="C381" t="s">
        <v>572</v>
      </c>
      <c r="E381" t="s">
        <v>156</v>
      </c>
      <c r="F381">
        <v>6</v>
      </c>
      <c r="G381">
        <v>1971</v>
      </c>
      <c r="H381">
        <v>302</v>
      </c>
      <c r="I381">
        <v>8.8279999999999994</v>
      </c>
      <c r="J381">
        <v>571.16600000000005</v>
      </c>
      <c r="K381">
        <v>212</v>
      </c>
    </row>
    <row r="382" spans="1:11">
      <c r="A382">
        <v>22991</v>
      </c>
      <c r="B382" t="s">
        <v>826</v>
      </c>
      <c r="C382" t="s">
        <v>649</v>
      </c>
      <c r="E382" t="s">
        <v>1482</v>
      </c>
      <c r="F382">
        <v>85</v>
      </c>
      <c r="G382">
        <v>1991</v>
      </c>
      <c r="H382">
        <v>12</v>
      </c>
      <c r="I382">
        <v>38.875</v>
      </c>
      <c r="J382">
        <v>3401.1170000000002</v>
      </c>
      <c r="K382">
        <v>1646</v>
      </c>
    </row>
    <row r="383" spans="1:11">
      <c r="A383">
        <v>21912</v>
      </c>
      <c r="B383" t="s">
        <v>826</v>
      </c>
      <c r="C383" t="s">
        <v>650</v>
      </c>
      <c r="E383" t="s">
        <v>1482</v>
      </c>
      <c r="F383">
        <v>85</v>
      </c>
      <c r="G383">
        <v>1956</v>
      </c>
      <c r="H383">
        <v>7</v>
      </c>
      <c r="I383">
        <v>41.125</v>
      </c>
      <c r="J383">
        <v>3705.7919999999999</v>
      </c>
      <c r="K383">
        <v>1850</v>
      </c>
    </row>
    <row r="384" spans="1:11">
      <c r="A384">
        <v>17002</v>
      </c>
      <c r="B384" t="s">
        <v>826</v>
      </c>
      <c r="C384" t="s">
        <v>621</v>
      </c>
      <c r="E384" t="s">
        <v>1482</v>
      </c>
      <c r="F384">
        <v>85</v>
      </c>
      <c r="G384">
        <v>1929</v>
      </c>
      <c r="H384">
        <v>783</v>
      </c>
      <c r="I384">
        <v>0</v>
      </c>
      <c r="J384">
        <v>0</v>
      </c>
      <c r="K384">
        <v>0</v>
      </c>
    </row>
    <row r="385" spans="1:11">
      <c r="A385">
        <v>21913</v>
      </c>
      <c r="B385" t="s">
        <v>827</v>
      </c>
      <c r="C385" t="s">
        <v>614</v>
      </c>
      <c r="D385" t="s">
        <v>107</v>
      </c>
      <c r="E385" t="s">
        <v>1482</v>
      </c>
      <c r="F385">
        <v>85</v>
      </c>
      <c r="G385">
        <v>1957</v>
      </c>
      <c r="H385">
        <v>59</v>
      </c>
      <c r="I385">
        <v>29.5</v>
      </c>
      <c r="J385">
        <v>2351.0230000000001</v>
      </c>
      <c r="K385">
        <v>1126</v>
      </c>
    </row>
    <row r="386" spans="1:11">
      <c r="A386">
        <v>16062</v>
      </c>
      <c r="B386" t="s">
        <v>1530</v>
      </c>
      <c r="C386" t="s">
        <v>621</v>
      </c>
      <c r="E386" t="s">
        <v>1487</v>
      </c>
      <c r="F386">
        <v>83</v>
      </c>
      <c r="G386">
        <v>1967</v>
      </c>
      <c r="H386">
        <v>626</v>
      </c>
      <c r="I386">
        <v>2.4380000000000002</v>
      </c>
      <c r="J386">
        <v>48.442999999999998</v>
      </c>
      <c r="K386">
        <v>0</v>
      </c>
    </row>
    <row r="387" spans="1:11">
      <c r="A387">
        <v>13077</v>
      </c>
      <c r="B387" t="s">
        <v>1531</v>
      </c>
      <c r="C387" t="s">
        <v>535</v>
      </c>
      <c r="E387" t="s">
        <v>497</v>
      </c>
      <c r="F387">
        <v>51</v>
      </c>
      <c r="G387">
        <v>1951</v>
      </c>
      <c r="H387">
        <v>112</v>
      </c>
      <c r="I387">
        <v>21.501999999999999</v>
      </c>
      <c r="J387">
        <v>1780.4449999999999</v>
      </c>
      <c r="K387">
        <v>837</v>
      </c>
    </row>
    <row r="388" spans="1:11">
      <c r="A388">
        <v>21798</v>
      </c>
      <c r="B388" t="s">
        <v>1229</v>
      </c>
      <c r="C388" t="s">
        <v>543</v>
      </c>
      <c r="E388" t="s">
        <v>161</v>
      </c>
      <c r="F388">
        <v>30</v>
      </c>
      <c r="G388">
        <v>1979</v>
      </c>
      <c r="H388">
        <v>590</v>
      </c>
      <c r="I388">
        <v>2.3130000000000002</v>
      </c>
      <c r="J388">
        <v>73.132999999999996</v>
      </c>
      <c r="K388">
        <v>0</v>
      </c>
    </row>
    <row r="389" spans="1:11">
      <c r="A389">
        <v>13078</v>
      </c>
      <c r="B389" t="s">
        <v>1532</v>
      </c>
      <c r="C389" t="s">
        <v>636</v>
      </c>
      <c r="D389" t="s">
        <v>107</v>
      </c>
      <c r="E389" t="s">
        <v>497</v>
      </c>
      <c r="F389">
        <v>51</v>
      </c>
      <c r="G389">
        <v>1949</v>
      </c>
      <c r="H389">
        <v>135</v>
      </c>
      <c r="I389">
        <v>16.815000000000001</v>
      </c>
      <c r="J389">
        <v>1586.462</v>
      </c>
      <c r="K389">
        <v>837</v>
      </c>
    </row>
    <row r="390" spans="1:11">
      <c r="A390">
        <v>20711</v>
      </c>
      <c r="B390" t="s">
        <v>828</v>
      </c>
      <c r="C390" t="s">
        <v>829</v>
      </c>
      <c r="E390" t="s">
        <v>470</v>
      </c>
      <c r="F390">
        <v>20</v>
      </c>
      <c r="G390">
        <v>1977</v>
      </c>
      <c r="H390">
        <v>539</v>
      </c>
      <c r="I390">
        <v>2.5630000000000002</v>
      </c>
      <c r="J390">
        <v>112.021</v>
      </c>
      <c r="K390">
        <v>0</v>
      </c>
    </row>
    <row r="391" spans="1:11">
      <c r="A391">
        <v>12031</v>
      </c>
      <c r="B391" t="s">
        <v>830</v>
      </c>
      <c r="C391" t="s">
        <v>831</v>
      </c>
      <c r="D391" t="s">
        <v>107</v>
      </c>
      <c r="E391" t="s">
        <v>576</v>
      </c>
      <c r="F391">
        <v>73</v>
      </c>
      <c r="G391">
        <v>1940</v>
      </c>
      <c r="H391">
        <v>270</v>
      </c>
      <c r="I391">
        <v>11.492000000000001</v>
      </c>
      <c r="J391">
        <v>684.12400000000002</v>
      </c>
      <c r="K391">
        <v>194</v>
      </c>
    </row>
    <row r="392" spans="1:11">
      <c r="A392">
        <v>27072</v>
      </c>
      <c r="B392" t="s">
        <v>832</v>
      </c>
      <c r="C392" t="s">
        <v>604</v>
      </c>
      <c r="E392" t="s">
        <v>1196</v>
      </c>
      <c r="F392">
        <v>61</v>
      </c>
      <c r="G392">
        <v>1983</v>
      </c>
      <c r="H392">
        <v>470</v>
      </c>
      <c r="I392">
        <v>7.75</v>
      </c>
      <c r="J392">
        <v>194.46100000000001</v>
      </c>
      <c r="K392">
        <v>0</v>
      </c>
    </row>
    <row r="393" spans="1:11">
      <c r="A393">
        <v>27074</v>
      </c>
      <c r="B393" t="s">
        <v>1533</v>
      </c>
      <c r="C393" t="s">
        <v>866</v>
      </c>
      <c r="D393" t="s">
        <v>107</v>
      </c>
      <c r="E393" t="s">
        <v>1196</v>
      </c>
      <c r="F393">
        <v>61</v>
      </c>
      <c r="G393">
        <v>1986</v>
      </c>
      <c r="H393">
        <v>784</v>
      </c>
      <c r="I393">
        <v>0</v>
      </c>
      <c r="J393">
        <v>0</v>
      </c>
      <c r="K393">
        <v>0</v>
      </c>
    </row>
    <row r="394" spans="1:11">
      <c r="A394">
        <v>13072</v>
      </c>
      <c r="B394" t="s">
        <v>1534</v>
      </c>
      <c r="C394" t="s">
        <v>720</v>
      </c>
      <c r="D394" t="s">
        <v>107</v>
      </c>
      <c r="E394" t="s">
        <v>1400</v>
      </c>
      <c r="F394">
        <v>78</v>
      </c>
      <c r="G394">
        <v>1977</v>
      </c>
      <c r="H394">
        <v>267</v>
      </c>
      <c r="I394">
        <v>7.6879999999999997</v>
      </c>
      <c r="J394">
        <v>687.32899999999995</v>
      </c>
      <c r="K394">
        <v>366</v>
      </c>
    </row>
    <row r="395" spans="1:11">
      <c r="A395">
        <v>26039</v>
      </c>
      <c r="B395" t="s">
        <v>833</v>
      </c>
      <c r="C395" t="s">
        <v>543</v>
      </c>
      <c r="E395" t="s">
        <v>1209</v>
      </c>
      <c r="F395">
        <v>28</v>
      </c>
      <c r="G395">
        <v>1984</v>
      </c>
      <c r="H395">
        <v>672</v>
      </c>
      <c r="I395">
        <v>0.68799999999999994</v>
      </c>
      <c r="J395">
        <v>21.559000000000001</v>
      </c>
      <c r="K395">
        <v>0</v>
      </c>
    </row>
    <row r="396" spans="1:11">
      <c r="A396">
        <v>15072</v>
      </c>
      <c r="B396" t="s">
        <v>1535</v>
      </c>
      <c r="C396" t="s">
        <v>608</v>
      </c>
      <c r="D396" t="s">
        <v>91</v>
      </c>
      <c r="E396" t="s">
        <v>164</v>
      </c>
      <c r="F396">
        <v>52</v>
      </c>
      <c r="G396">
        <v>2006</v>
      </c>
      <c r="H396">
        <v>669</v>
      </c>
      <c r="I396">
        <v>0.625</v>
      </c>
      <c r="J396">
        <v>23.861000000000001</v>
      </c>
      <c r="K396">
        <v>0</v>
      </c>
    </row>
    <row r="397" spans="1:11">
      <c r="A397">
        <v>24224</v>
      </c>
      <c r="B397" t="s">
        <v>834</v>
      </c>
      <c r="C397" t="s">
        <v>553</v>
      </c>
      <c r="E397" t="s">
        <v>497</v>
      </c>
      <c r="F397">
        <v>51</v>
      </c>
      <c r="G397">
        <v>1964</v>
      </c>
      <c r="H397">
        <v>785</v>
      </c>
      <c r="I397">
        <v>0</v>
      </c>
      <c r="J397">
        <v>0</v>
      </c>
      <c r="K397">
        <v>0</v>
      </c>
    </row>
    <row r="398" spans="1:11">
      <c r="A398">
        <v>15045</v>
      </c>
      <c r="B398" t="s">
        <v>1536</v>
      </c>
      <c r="C398" t="s">
        <v>659</v>
      </c>
      <c r="D398" t="s">
        <v>107</v>
      </c>
      <c r="E398" t="s">
        <v>1200</v>
      </c>
      <c r="F398">
        <v>70</v>
      </c>
      <c r="G398">
        <v>1939</v>
      </c>
      <c r="H398">
        <v>656</v>
      </c>
      <c r="I398">
        <v>0.71899999999999997</v>
      </c>
      <c r="J398">
        <v>31.408999999999999</v>
      </c>
      <c r="K398">
        <v>0</v>
      </c>
    </row>
    <row r="399" spans="1:11">
      <c r="A399">
        <v>12006</v>
      </c>
      <c r="B399" t="s">
        <v>835</v>
      </c>
      <c r="C399" t="s">
        <v>545</v>
      </c>
      <c r="D399" t="s">
        <v>107</v>
      </c>
      <c r="E399" t="s">
        <v>172</v>
      </c>
      <c r="F399">
        <v>48</v>
      </c>
      <c r="G399">
        <v>1997</v>
      </c>
      <c r="H399">
        <v>99</v>
      </c>
      <c r="I399">
        <v>23.501000000000001</v>
      </c>
      <c r="J399">
        <v>1908.4179999999999</v>
      </c>
      <c r="K399">
        <v>1005</v>
      </c>
    </row>
    <row r="400" spans="1:11">
      <c r="A400">
        <v>20626</v>
      </c>
      <c r="B400" t="s">
        <v>836</v>
      </c>
      <c r="C400" t="s">
        <v>627</v>
      </c>
      <c r="E400" t="s">
        <v>743</v>
      </c>
      <c r="F400">
        <v>10</v>
      </c>
      <c r="G400">
        <v>1973</v>
      </c>
      <c r="H400">
        <v>637</v>
      </c>
      <c r="I400">
        <v>2</v>
      </c>
      <c r="J400">
        <v>41.98</v>
      </c>
      <c r="K400">
        <v>0</v>
      </c>
    </row>
    <row r="401" spans="1:11">
      <c r="A401">
        <v>26005</v>
      </c>
      <c r="B401" t="s">
        <v>837</v>
      </c>
      <c r="C401" t="s">
        <v>707</v>
      </c>
      <c r="D401" t="s">
        <v>107</v>
      </c>
      <c r="E401" t="s">
        <v>743</v>
      </c>
      <c r="F401">
        <v>10</v>
      </c>
      <c r="G401">
        <v>1970</v>
      </c>
      <c r="H401">
        <v>786</v>
      </c>
      <c r="I401">
        <v>0</v>
      </c>
      <c r="J401">
        <v>0</v>
      </c>
      <c r="K401">
        <v>0</v>
      </c>
    </row>
    <row r="402" spans="1:11">
      <c r="A402">
        <v>10082</v>
      </c>
      <c r="B402" t="s">
        <v>838</v>
      </c>
      <c r="C402" t="s">
        <v>797</v>
      </c>
      <c r="E402" t="s">
        <v>487</v>
      </c>
      <c r="F402">
        <v>69</v>
      </c>
      <c r="G402">
        <v>1961</v>
      </c>
      <c r="H402">
        <v>57</v>
      </c>
      <c r="I402">
        <v>28.001000000000001</v>
      </c>
      <c r="J402">
        <v>2364.6260000000002</v>
      </c>
      <c r="K402">
        <v>1101</v>
      </c>
    </row>
    <row r="403" spans="1:11">
      <c r="A403">
        <v>22979</v>
      </c>
      <c r="B403" t="s">
        <v>839</v>
      </c>
      <c r="C403" t="s">
        <v>840</v>
      </c>
      <c r="E403" t="s">
        <v>200</v>
      </c>
      <c r="F403">
        <v>19</v>
      </c>
      <c r="G403">
        <v>1977</v>
      </c>
      <c r="H403">
        <v>468</v>
      </c>
      <c r="I403">
        <v>3.9689999999999999</v>
      </c>
      <c r="J403">
        <v>195.19399999999999</v>
      </c>
      <c r="K403">
        <v>55</v>
      </c>
    </row>
    <row r="404" spans="1:11">
      <c r="A404">
        <v>17027</v>
      </c>
      <c r="B404" t="s">
        <v>841</v>
      </c>
      <c r="C404" t="s">
        <v>584</v>
      </c>
      <c r="E404" t="s">
        <v>1287</v>
      </c>
      <c r="F404">
        <v>65</v>
      </c>
      <c r="G404">
        <v>1944</v>
      </c>
      <c r="H404">
        <v>787</v>
      </c>
      <c r="I404">
        <v>0</v>
      </c>
      <c r="J404">
        <v>0</v>
      </c>
      <c r="K404">
        <v>0</v>
      </c>
    </row>
    <row r="405" spans="1:11">
      <c r="A405">
        <v>15037</v>
      </c>
      <c r="B405" t="s">
        <v>841</v>
      </c>
      <c r="C405" t="s">
        <v>558</v>
      </c>
      <c r="E405" t="s">
        <v>1397</v>
      </c>
      <c r="F405">
        <v>6</v>
      </c>
      <c r="G405">
        <v>1975</v>
      </c>
      <c r="H405">
        <v>664</v>
      </c>
      <c r="I405">
        <v>0.75</v>
      </c>
      <c r="J405">
        <v>24.695</v>
      </c>
      <c r="K405">
        <v>0</v>
      </c>
    </row>
    <row r="406" spans="1:11">
      <c r="A406">
        <v>17029</v>
      </c>
      <c r="B406" t="s">
        <v>1537</v>
      </c>
      <c r="C406" t="s">
        <v>1514</v>
      </c>
      <c r="E406" t="s">
        <v>164</v>
      </c>
      <c r="F406">
        <v>52</v>
      </c>
      <c r="G406">
        <v>1966</v>
      </c>
      <c r="H406">
        <v>610</v>
      </c>
      <c r="I406">
        <v>1.3129999999999999</v>
      </c>
      <c r="J406">
        <v>60.58</v>
      </c>
      <c r="K406">
        <v>0</v>
      </c>
    </row>
    <row r="407" spans="1:11">
      <c r="A407">
        <v>99502</v>
      </c>
      <c r="B407" t="s">
        <v>842</v>
      </c>
      <c r="C407" t="s">
        <v>584</v>
      </c>
      <c r="E407" t="s">
        <v>570</v>
      </c>
      <c r="F407">
        <v>16</v>
      </c>
      <c r="G407">
        <v>1952</v>
      </c>
      <c r="H407">
        <v>498</v>
      </c>
      <c r="I407">
        <v>1</v>
      </c>
      <c r="J407">
        <v>159</v>
      </c>
      <c r="K407">
        <v>104</v>
      </c>
    </row>
    <row r="408" spans="1:11">
      <c r="A408">
        <v>12038</v>
      </c>
      <c r="B408" t="s">
        <v>843</v>
      </c>
      <c r="C408" t="s">
        <v>844</v>
      </c>
      <c r="E408" t="s">
        <v>576</v>
      </c>
      <c r="F408">
        <v>73</v>
      </c>
      <c r="G408">
        <v>1955</v>
      </c>
      <c r="H408">
        <v>41</v>
      </c>
      <c r="I408">
        <v>31.187999999999999</v>
      </c>
      <c r="J408">
        <v>2748.654</v>
      </c>
      <c r="K408">
        <v>1375</v>
      </c>
    </row>
    <row r="409" spans="1:11">
      <c r="A409">
        <v>12037</v>
      </c>
      <c r="B409" t="s">
        <v>845</v>
      </c>
      <c r="C409" t="s">
        <v>846</v>
      </c>
      <c r="D409" t="s">
        <v>107</v>
      </c>
      <c r="E409" t="s">
        <v>576</v>
      </c>
      <c r="F409">
        <v>73</v>
      </c>
      <c r="G409">
        <v>1951</v>
      </c>
      <c r="H409">
        <v>39</v>
      </c>
      <c r="I409">
        <v>31.187999999999999</v>
      </c>
      <c r="J409">
        <v>2785.82</v>
      </c>
      <c r="K409">
        <v>1397</v>
      </c>
    </row>
    <row r="410" spans="1:11">
      <c r="A410">
        <v>16052</v>
      </c>
      <c r="B410" t="s">
        <v>1538</v>
      </c>
      <c r="C410" t="s">
        <v>1539</v>
      </c>
      <c r="D410" t="s">
        <v>107</v>
      </c>
      <c r="E410" t="s">
        <v>1388</v>
      </c>
      <c r="F410">
        <v>82</v>
      </c>
      <c r="G410">
        <v>1976</v>
      </c>
      <c r="H410">
        <v>386</v>
      </c>
      <c r="I410">
        <v>5.032</v>
      </c>
      <c r="J410">
        <v>334.80799999999999</v>
      </c>
      <c r="K410">
        <v>104</v>
      </c>
    </row>
    <row r="411" spans="1:11">
      <c r="A411">
        <v>16060</v>
      </c>
      <c r="B411" t="s">
        <v>1540</v>
      </c>
      <c r="C411" t="s">
        <v>552</v>
      </c>
      <c r="E411" t="s">
        <v>1487</v>
      </c>
      <c r="F411">
        <v>83</v>
      </c>
      <c r="G411">
        <v>1972</v>
      </c>
      <c r="H411">
        <v>188</v>
      </c>
      <c r="I411">
        <v>17.282</v>
      </c>
      <c r="J411">
        <v>1132.0509999999999</v>
      </c>
      <c r="K411">
        <v>446</v>
      </c>
    </row>
    <row r="412" spans="1:11">
      <c r="A412">
        <v>12027</v>
      </c>
      <c r="B412" t="s">
        <v>847</v>
      </c>
      <c r="C412" t="s">
        <v>584</v>
      </c>
      <c r="E412" t="s">
        <v>681</v>
      </c>
      <c r="F412">
        <v>68</v>
      </c>
      <c r="G412">
        <v>1973</v>
      </c>
      <c r="H412">
        <v>591</v>
      </c>
      <c r="I412">
        <v>1.5629999999999999</v>
      </c>
      <c r="J412">
        <v>73.102000000000004</v>
      </c>
      <c r="K412">
        <v>0</v>
      </c>
    </row>
    <row r="413" spans="1:11">
      <c r="A413">
        <v>29039</v>
      </c>
      <c r="B413" t="s">
        <v>848</v>
      </c>
      <c r="C413" t="s">
        <v>539</v>
      </c>
      <c r="D413" t="s">
        <v>107</v>
      </c>
      <c r="E413" t="s">
        <v>170</v>
      </c>
      <c r="F413">
        <v>14</v>
      </c>
      <c r="G413">
        <v>1956</v>
      </c>
      <c r="H413">
        <v>18</v>
      </c>
      <c r="I413">
        <v>43.875</v>
      </c>
      <c r="J413">
        <v>3264.9839999999999</v>
      </c>
      <c r="K413">
        <v>1642</v>
      </c>
    </row>
    <row r="414" spans="1:11">
      <c r="A414">
        <v>16104</v>
      </c>
      <c r="B414" t="s">
        <v>848</v>
      </c>
      <c r="C414" t="s">
        <v>663</v>
      </c>
      <c r="D414" t="s">
        <v>107</v>
      </c>
      <c r="E414" t="s">
        <v>170</v>
      </c>
      <c r="F414">
        <v>14</v>
      </c>
      <c r="G414">
        <v>1986</v>
      </c>
      <c r="H414">
        <v>198</v>
      </c>
      <c r="I414">
        <v>12.718999999999999</v>
      </c>
      <c r="J414">
        <v>1083.98</v>
      </c>
      <c r="K414">
        <v>494</v>
      </c>
    </row>
    <row r="415" spans="1:11">
      <c r="A415">
        <v>16105</v>
      </c>
      <c r="B415" t="s">
        <v>849</v>
      </c>
      <c r="C415" t="s">
        <v>679</v>
      </c>
      <c r="E415" t="s">
        <v>170</v>
      </c>
      <c r="F415">
        <v>14</v>
      </c>
      <c r="G415">
        <v>1959</v>
      </c>
      <c r="H415">
        <v>169</v>
      </c>
      <c r="I415">
        <v>22.251000000000001</v>
      </c>
      <c r="J415">
        <v>1287.797</v>
      </c>
      <c r="K415">
        <v>411</v>
      </c>
    </row>
    <row r="416" spans="1:11">
      <c r="A416">
        <v>29040</v>
      </c>
      <c r="B416" t="s">
        <v>849</v>
      </c>
      <c r="C416" t="s">
        <v>552</v>
      </c>
      <c r="E416" t="s">
        <v>170</v>
      </c>
      <c r="F416">
        <v>14</v>
      </c>
      <c r="G416">
        <v>1961</v>
      </c>
      <c r="H416">
        <v>13</v>
      </c>
      <c r="I416">
        <v>42.5</v>
      </c>
      <c r="J416">
        <v>3371.7910000000002</v>
      </c>
      <c r="K416">
        <v>1667</v>
      </c>
    </row>
    <row r="417" spans="1:11">
      <c r="A417">
        <v>11045</v>
      </c>
      <c r="B417" t="s">
        <v>850</v>
      </c>
      <c r="C417" t="s">
        <v>564</v>
      </c>
      <c r="E417" t="s">
        <v>1197</v>
      </c>
      <c r="F417">
        <v>2</v>
      </c>
      <c r="G417">
        <v>1954</v>
      </c>
      <c r="H417">
        <v>350</v>
      </c>
      <c r="I417">
        <v>5.5309999999999997</v>
      </c>
      <c r="J417">
        <v>396.51600000000002</v>
      </c>
      <c r="K417">
        <v>148</v>
      </c>
    </row>
    <row r="418" spans="1:11">
      <c r="A418">
        <v>21776</v>
      </c>
      <c r="B418" t="s">
        <v>1541</v>
      </c>
      <c r="C418" t="s">
        <v>700</v>
      </c>
      <c r="E418" t="s">
        <v>198</v>
      </c>
      <c r="F418">
        <v>17</v>
      </c>
      <c r="G418">
        <v>1971</v>
      </c>
      <c r="H418">
        <v>405</v>
      </c>
      <c r="I418">
        <v>4.75</v>
      </c>
      <c r="J418">
        <v>298.666</v>
      </c>
      <c r="K418">
        <v>107</v>
      </c>
    </row>
    <row r="419" spans="1:11">
      <c r="A419">
        <v>15013</v>
      </c>
      <c r="B419" t="s">
        <v>1542</v>
      </c>
      <c r="C419" t="s">
        <v>768</v>
      </c>
      <c r="D419" t="s">
        <v>107</v>
      </c>
      <c r="E419" t="s">
        <v>198</v>
      </c>
      <c r="F419">
        <v>17</v>
      </c>
      <c r="G419">
        <v>1972</v>
      </c>
      <c r="H419">
        <v>439</v>
      </c>
      <c r="I419">
        <v>2.8439999999999999</v>
      </c>
      <c r="J419">
        <v>228.15899999999999</v>
      </c>
      <c r="K419">
        <v>116</v>
      </c>
    </row>
    <row r="420" spans="1:11">
      <c r="A420">
        <v>15050</v>
      </c>
      <c r="B420" t="s">
        <v>1543</v>
      </c>
      <c r="C420" t="s">
        <v>614</v>
      </c>
      <c r="D420" t="s">
        <v>107</v>
      </c>
      <c r="E420" t="s">
        <v>216</v>
      </c>
      <c r="F420">
        <v>33</v>
      </c>
      <c r="G420">
        <v>1949</v>
      </c>
      <c r="H420">
        <v>496</v>
      </c>
      <c r="I420">
        <v>4.9379999999999997</v>
      </c>
      <c r="J420">
        <v>159.94499999999999</v>
      </c>
      <c r="K420">
        <v>0</v>
      </c>
    </row>
    <row r="421" spans="1:11">
      <c r="A421">
        <v>17006</v>
      </c>
      <c r="B421" t="s">
        <v>851</v>
      </c>
      <c r="C421" t="s">
        <v>589</v>
      </c>
      <c r="D421" t="s">
        <v>91</v>
      </c>
      <c r="E421" t="s">
        <v>1482</v>
      </c>
      <c r="F421">
        <v>85</v>
      </c>
      <c r="G421">
        <v>2009</v>
      </c>
      <c r="H421">
        <v>790</v>
      </c>
      <c r="I421">
        <v>0</v>
      </c>
      <c r="J421">
        <v>0</v>
      </c>
      <c r="K421">
        <v>0</v>
      </c>
    </row>
    <row r="422" spans="1:11">
      <c r="A422">
        <v>17005</v>
      </c>
      <c r="B422" t="s">
        <v>851</v>
      </c>
      <c r="C422" t="s">
        <v>564</v>
      </c>
      <c r="D422" t="s">
        <v>91</v>
      </c>
      <c r="E422" t="s">
        <v>1482</v>
      </c>
      <c r="F422">
        <v>85</v>
      </c>
      <c r="G422">
        <v>2008</v>
      </c>
      <c r="H422">
        <v>789</v>
      </c>
      <c r="I422">
        <v>0</v>
      </c>
      <c r="J422">
        <v>0</v>
      </c>
      <c r="K422">
        <v>0</v>
      </c>
    </row>
    <row r="423" spans="1:11">
      <c r="A423">
        <v>26043</v>
      </c>
      <c r="B423" t="s">
        <v>851</v>
      </c>
      <c r="C423" t="s">
        <v>535</v>
      </c>
      <c r="E423" t="s">
        <v>623</v>
      </c>
      <c r="F423">
        <v>45</v>
      </c>
      <c r="G423">
        <v>1969</v>
      </c>
      <c r="H423">
        <v>94</v>
      </c>
      <c r="I423">
        <v>26.984999999999999</v>
      </c>
      <c r="J423">
        <v>1957.16</v>
      </c>
      <c r="K423">
        <v>776</v>
      </c>
    </row>
    <row r="424" spans="1:11">
      <c r="A424">
        <v>17004</v>
      </c>
      <c r="B424" t="s">
        <v>851</v>
      </c>
      <c r="C424" t="s">
        <v>621</v>
      </c>
      <c r="D424" t="s">
        <v>91</v>
      </c>
      <c r="E424" t="s">
        <v>1482</v>
      </c>
      <c r="F424">
        <v>85</v>
      </c>
      <c r="G424">
        <v>2006</v>
      </c>
      <c r="H424">
        <v>788</v>
      </c>
      <c r="I424">
        <v>0</v>
      </c>
      <c r="J424">
        <v>0</v>
      </c>
      <c r="K424">
        <v>0</v>
      </c>
    </row>
    <row r="425" spans="1:11">
      <c r="A425">
        <v>17003</v>
      </c>
      <c r="B425" t="s">
        <v>852</v>
      </c>
      <c r="C425" t="s">
        <v>614</v>
      </c>
      <c r="D425" t="s">
        <v>107</v>
      </c>
      <c r="E425" t="s">
        <v>1482</v>
      </c>
      <c r="F425">
        <v>85</v>
      </c>
      <c r="G425">
        <v>1979</v>
      </c>
      <c r="H425">
        <v>791</v>
      </c>
      <c r="I425">
        <v>0</v>
      </c>
      <c r="J425">
        <v>0</v>
      </c>
      <c r="K425">
        <v>0</v>
      </c>
    </row>
    <row r="426" spans="1:11">
      <c r="A426">
        <v>26044</v>
      </c>
      <c r="B426" t="s">
        <v>852</v>
      </c>
      <c r="C426" t="s">
        <v>853</v>
      </c>
      <c r="D426" t="s">
        <v>107</v>
      </c>
      <c r="E426" t="s">
        <v>623</v>
      </c>
      <c r="F426">
        <v>45</v>
      </c>
      <c r="G426">
        <v>1982</v>
      </c>
      <c r="H426">
        <v>602</v>
      </c>
      <c r="I426">
        <v>0.95299999999999996</v>
      </c>
      <c r="J426">
        <v>66.137</v>
      </c>
      <c r="K426">
        <v>20</v>
      </c>
    </row>
    <row r="427" spans="1:11">
      <c r="A427">
        <v>16041</v>
      </c>
      <c r="B427" t="s">
        <v>1544</v>
      </c>
      <c r="C427" t="s">
        <v>636</v>
      </c>
      <c r="D427" t="s">
        <v>107</v>
      </c>
      <c r="E427" t="s">
        <v>1200</v>
      </c>
      <c r="F427">
        <v>70</v>
      </c>
      <c r="G427">
        <v>1936</v>
      </c>
      <c r="H427">
        <v>584</v>
      </c>
      <c r="I427">
        <v>1.6879999999999999</v>
      </c>
      <c r="J427">
        <v>75.069000000000003</v>
      </c>
      <c r="K427">
        <v>0</v>
      </c>
    </row>
    <row r="428" spans="1:11">
      <c r="A428">
        <v>26025</v>
      </c>
      <c r="B428" t="s">
        <v>854</v>
      </c>
      <c r="C428" t="s">
        <v>638</v>
      </c>
      <c r="D428" t="s">
        <v>107</v>
      </c>
      <c r="E428" t="s">
        <v>475</v>
      </c>
      <c r="F428">
        <v>63</v>
      </c>
      <c r="G428">
        <v>1971</v>
      </c>
      <c r="H428">
        <v>214</v>
      </c>
      <c r="I428">
        <v>20.187999999999999</v>
      </c>
      <c r="J428">
        <v>984.46699999999998</v>
      </c>
      <c r="K428">
        <v>241</v>
      </c>
    </row>
    <row r="429" spans="1:11">
      <c r="A429">
        <v>24236</v>
      </c>
      <c r="B429" t="s">
        <v>855</v>
      </c>
      <c r="C429" t="s">
        <v>736</v>
      </c>
      <c r="E429" t="s">
        <v>200</v>
      </c>
      <c r="F429">
        <v>19</v>
      </c>
      <c r="G429">
        <v>1959</v>
      </c>
      <c r="H429">
        <v>283</v>
      </c>
      <c r="I429">
        <v>8.766</v>
      </c>
      <c r="J429">
        <v>634.81700000000001</v>
      </c>
      <c r="K429">
        <v>277</v>
      </c>
    </row>
    <row r="430" spans="1:11">
      <c r="A430">
        <v>17078</v>
      </c>
      <c r="B430" t="s">
        <v>1545</v>
      </c>
      <c r="C430" t="s">
        <v>558</v>
      </c>
      <c r="E430" t="s">
        <v>1437</v>
      </c>
      <c r="F430">
        <v>86</v>
      </c>
      <c r="G430">
        <v>1991</v>
      </c>
      <c r="H430">
        <v>792</v>
      </c>
      <c r="I430">
        <v>0</v>
      </c>
      <c r="J430">
        <v>0</v>
      </c>
      <c r="K430">
        <v>0</v>
      </c>
    </row>
    <row r="431" spans="1:11">
      <c r="A431">
        <v>16042</v>
      </c>
      <c r="B431" t="s">
        <v>1546</v>
      </c>
      <c r="C431" t="s">
        <v>534</v>
      </c>
      <c r="E431" t="s">
        <v>1200</v>
      </c>
      <c r="F431">
        <v>70</v>
      </c>
      <c r="G431">
        <v>1938</v>
      </c>
      <c r="H431">
        <v>793</v>
      </c>
      <c r="I431">
        <v>0</v>
      </c>
      <c r="J431">
        <v>0</v>
      </c>
      <c r="K431">
        <v>0</v>
      </c>
    </row>
    <row r="432" spans="1:11">
      <c r="A432">
        <v>10044</v>
      </c>
      <c r="B432" t="s">
        <v>856</v>
      </c>
      <c r="C432" t="s">
        <v>584</v>
      </c>
      <c r="E432" t="s">
        <v>681</v>
      </c>
      <c r="F432">
        <v>68</v>
      </c>
      <c r="G432">
        <v>1978</v>
      </c>
      <c r="H432">
        <v>196</v>
      </c>
      <c r="I432">
        <v>14.75</v>
      </c>
      <c r="J432">
        <v>1098.953</v>
      </c>
      <c r="K432">
        <v>434</v>
      </c>
    </row>
    <row r="433" spans="1:11">
      <c r="A433">
        <v>12069</v>
      </c>
      <c r="B433" t="s">
        <v>1230</v>
      </c>
      <c r="C433" t="s">
        <v>558</v>
      </c>
      <c r="E433" t="s">
        <v>681</v>
      </c>
      <c r="F433">
        <v>68</v>
      </c>
      <c r="G433">
        <v>1976</v>
      </c>
      <c r="H433">
        <v>261</v>
      </c>
      <c r="I433">
        <v>8.0779999999999994</v>
      </c>
      <c r="J433">
        <v>707.47500000000002</v>
      </c>
      <c r="K433">
        <v>344</v>
      </c>
    </row>
    <row r="434" spans="1:11">
      <c r="A434">
        <v>10085</v>
      </c>
      <c r="B434" t="s">
        <v>857</v>
      </c>
      <c r="C434" t="s">
        <v>534</v>
      </c>
      <c r="E434" t="s">
        <v>487</v>
      </c>
      <c r="F434">
        <v>69</v>
      </c>
      <c r="G434">
        <v>1961</v>
      </c>
      <c r="H434">
        <v>145</v>
      </c>
      <c r="I434">
        <v>18.25</v>
      </c>
      <c r="J434">
        <v>1501.1089999999999</v>
      </c>
      <c r="K434">
        <v>704</v>
      </c>
    </row>
    <row r="435" spans="1:11">
      <c r="A435">
        <v>13019</v>
      </c>
      <c r="B435" t="s">
        <v>858</v>
      </c>
      <c r="C435" t="s">
        <v>1231</v>
      </c>
      <c r="E435" t="s">
        <v>1170</v>
      </c>
      <c r="F435">
        <v>75</v>
      </c>
      <c r="G435">
        <v>1996</v>
      </c>
      <c r="H435">
        <v>794</v>
      </c>
      <c r="I435">
        <v>0</v>
      </c>
      <c r="J435">
        <v>0</v>
      </c>
      <c r="K435">
        <v>0</v>
      </c>
    </row>
    <row r="436" spans="1:11">
      <c r="A436">
        <v>13018</v>
      </c>
      <c r="B436" t="s">
        <v>858</v>
      </c>
      <c r="C436" t="s">
        <v>1232</v>
      </c>
      <c r="E436" t="s">
        <v>1170</v>
      </c>
      <c r="F436">
        <v>75</v>
      </c>
      <c r="G436">
        <v>1965</v>
      </c>
      <c r="H436">
        <v>532</v>
      </c>
      <c r="I436">
        <v>2.3759999999999999</v>
      </c>
      <c r="J436">
        <v>118.488</v>
      </c>
      <c r="K436">
        <v>27</v>
      </c>
    </row>
    <row r="437" spans="1:11">
      <c r="A437">
        <v>17059</v>
      </c>
      <c r="B437" t="s">
        <v>1547</v>
      </c>
      <c r="C437" t="s">
        <v>553</v>
      </c>
      <c r="E437" t="s">
        <v>200</v>
      </c>
      <c r="F437">
        <v>19</v>
      </c>
      <c r="G437">
        <v>1990</v>
      </c>
      <c r="H437">
        <v>622</v>
      </c>
      <c r="I437">
        <v>1.0629999999999999</v>
      </c>
      <c r="J437">
        <v>50.07</v>
      </c>
      <c r="K437">
        <v>0</v>
      </c>
    </row>
    <row r="438" spans="1:11">
      <c r="A438">
        <v>11006</v>
      </c>
      <c r="B438" t="s">
        <v>860</v>
      </c>
      <c r="C438" t="s">
        <v>551</v>
      </c>
      <c r="E438" t="s">
        <v>472</v>
      </c>
      <c r="F438">
        <v>54</v>
      </c>
      <c r="G438">
        <v>1957</v>
      </c>
      <c r="H438">
        <v>61</v>
      </c>
      <c r="I438">
        <v>29.625</v>
      </c>
      <c r="J438">
        <v>2321.1959999999999</v>
      </c>
      <c r="K438">
        <v>1099</v>
      </c>
    </row>
    <row r="439" spans="1:11">
      <c r="A439">
        <v>11047</v>
      </c>
      <c r="B439" t="s">
        <v>861</v>
      </c>
      <c r="C439" t="s">
        <v>553</v>
      </c>
      <c r="E439" t="s">
        <v>681</v>
      </c>
      <c r="F439">
        <v>68</v>
      </c>
      <c r="G439">
        <v>1979</v>
      </c>
      <c r="H439">
        <v>563</v>
      </c>
      <c r="I439">
        <v>2.4380000000000002</v>
      </c>
      <c r="J439">
        <v>91.561000000000007</v>
      </c>
      <c r="K439">
        <v>0</v>
      </c>
    </row>
    <row r="440" spans="1:11">
      <c r="A440">
        <v>15086</v>
      </c>
      <c r="B440" t="s">
        <v>1548</v>
      </c>
      <c r="C440" t="s">
        <v>595</v>
      </c>
      <c r="E440" t="s">
        <v>1210</v>
      </c>
      <c r="F440">
        <v>42</v>
      </c>
      <c r="G440">
        <v>1951</v>
      </c>
      <c r="H440">
        <v>128</v>
      </c>
      <c r="I440">
        <v>21.094999999999999</v>
      </c>
      <c r="J440">
        <v>1660.1</v>
      </c>
      <c r="K440">
        <v>811</v>
      </c>
    </row>
    <row r="441" spans="1:11">
      <c r="A441">
        <v>27030</v>
      </c>
      <c r="B441" t="s">
        <v>862</v>
      </c>
      <c r="C441" t="s">
        <v>801</v>
      </c>
      <c r="D441" t="s">
        <v>107</v>
      </c>
      <c r="E441" t="s">
        <v>1167</v>
      </c>
      <c r="F441">
        <v>56</v>
      </c>
      <c r="G441">
        <v>1962</v>
      </c>
      <c r="H441">
        <v>76</v>
      </c>
      <c r="I441">
        <v>28.501000000000001</v>
      </c>
      <c r="J441">
        <v>2150.4380000000001</v>
      </c>
      <c r="K441">
        <v>972</v>
      </c>
    </row>
    <row r="442" spans="1:11">
      <c r="A442">
        <v>25061</v>
      </c>
      <c r="B442" t="s">
        <v>863</v>
      </c>
      <c r="C442" t="s">
        <v>553</v>
      </c>
      <c r="E442" t="s">
        <v>1167</v>
      </c>
      <c r="F442">
        <v>56</v>
      </c>
      <c r="G442">
        <v>1988</v>
      </c>
      <c r="H442">
        <v>43</v>
      </c>
      <c r="I442">
        <v>45.875</v>
      </c>
      <c r="J442">
        <v>2718.3130000000001</v>
      </c>
      <c r="K442">
        <v>951</v>
      </c>
    </row>
    <row r="443" spans="1:11">
      <c r="A443">
        <v>27083</v>
      </c>
      <c r="B443" t="s">
        <v>864</v>
      </c>
      <c r="C443" t="s">
        <v>662</v>
      </c>
      <c r="E443" t="s">
        <v>1206</v>
      </c>
      <c r="F443">
        <v>24</v>
      </c>
      <c r="G443">
        <v>1966</v>
      </c>
      <c r="H443">
        <v>566</v>
      </c>
      <c r="I443">
        <v>2.375</v>
      </c>
      <c r="J443">
        <v>91.344999999999999</v>
      </c>
      <c r="K443">
        <v>0</v>
      </c>
    </row>
    <row r="444" spans="1:11">
      <c r="A444">
        <v>17016</v>
      </c>
      <c r="B444" t="s">
        <v>864</v>
      </c>
      <c r="C444" t="s">
        <v>543</v>
      </c>
      <c r="E444" t="s">
        <v>161</v>
      </c>
      <c r="F444">
        <v>30</v>
      </c>
      <c r="G444">
        <v>1965</v>
      </c>
      <c r="H444">
        <v>515</v>
      </c>
      <c r="I444">
        <v>3.4220000000000002</v>
      </c>
      <c r="J444">
        <v>136.291</v>
      </c>
      <c r="K444">
        <v>0</v>
      </c>
    </row>
    <row r="445" spans="1:11">
      <c r="A445">
        <v>17017</v>
      </c>
      <c r="B445" t="s">
        <v>864</v>
      </c>
      <c r="C445" t="s">
        <v>558</v>
      </c>
      <c r="D445" t="s">
        <v>91</v>
      </c>
      <c r="E445" t="s">
        <v>161</v>
      </c>
      <c r="F445">
        <v>30</v>
      </c>
      <c r="G445">
        <v>2001</v>
      </c>
      <c r="H445">
        <v>562</v>
      </c>
      <c r="I445">
        <v>2.2349999999999999</v>
      </c>
      <c r="J445">
        <v>92.906000000000006</v>
      </c>
      <c r="K445">
        <v>0</v>
      </c>
    </row>
    <row r="446" spans="1:11">
      <c r="A446">
        <v>17015</v>
      </c>
      <c r="B446" t="s">
        <v>865</v>
      </c>
      <c r="C446" t="s">
        <v>539</v>
      </c>
      <c r="D446" t="s">
        <v>107</v>
      </c>
      <c r="E446" t="s">
        <v>161</v>
      </c>
      <c r="F446">
        <v>30</v>
      </c>
      <c r="G446">
        <v>1965</v>
      </c>
      <c r="H446">
        <v>560</v>
      </c>
      <c r="I446">
        <v>2.2970000000000002</v>
      </c>
      <c r="J446">
        <v>95.388000000000005</v>
      </c>
      <c r="K446">
        <v>0</v>
      </c>
    </row>
    <row r="447" spans="1:11">
      <c r="A447">
        <v>17012</v>
      </c>
      <c r="B447" t="s">
        <v>865</v>
      </c>
      <c r="C447" t="s">
        <v>561</v>
      </c>
      <c r="D447" t="s">
        <v>107</v>
      </c>
      <c r="E447" t="s">
        <v>1419</v>
      </c>
      <c r="F447">
        <v>84</v>
      </c>
      <c r="G447">
        <v>1946</v>
      </c>
      <c r="H447">
        <v>796</v>
      </c>
      <c r="I447">
        <v>0</v>
      </c>
      <c r="J447">
        <v>0</v>
      </c>
      <c r="K447">
        <v>0</v>
      </c>
    </row>
    <row r="448" spans="1:11">
      <c r="A448">
        <v>12025</v>
      </c>
      <c r="B448" t="s">
        <v>865</v>
      </c>
      <c r="C448" t="s">
        <v>625</v>
      </c>
      <c r="D448" t="s">
        <v>107</v>
      </c>
      <c r="E448" t="s">
        <v>1200</v>
      </c>
      <c r="F448">
        <v>70</v>
      </c>
      <c r="G448">
        <v>1946</v>
      </c>
      <c r="H448">
        <v>795</v>
      </c>
      <c r="I448">
        <v>0</v>
      </c>
      <c r="J448">
        <v>0</v>
      </c>
      <c r="K448">
        <v>0</v>
      </c>
    </row>
    <row r="449" spans="1:11">
      <c r="A449">
        <v>22980</v>
      </c>
      <c r="B449" t="s">
        <v>867</v>
      </c>
      <c r="C449" t="s">
        <v>572</v>
      </c>
      <c r="E449" t="s">
        <v>200</v>
      </c>
      <c r="F449">
        <v>19</v>
      </c>
      <c r="G449">
        <v>1972</v>
      </c>
      <c r="H449">
        <v>797</v>
      </c>
      <c r="I449">
        <v>0</v>
      </c>
      <c r="J449">
        <v>0</v>
      </c>
      <c r="K449">
        <v>0</v>
      </c>
    </row>
    <row r="450" spans="1:11">
      <c r="A450">
        <v>16151</v>
      </c>
      <c r="B450" t="s">
        <v>1549</v>
      </c>
      <c r="C450" t="s">
        <v>589</v>
      </c>
      <c r="E450" t="s">
        <v>1437</v>
      </c>
      <c r="F450">
        <v>86</v>
      </c>
      <c r="G450">
        <v>1991</v>
      </c>
      <c r="H450">
        <v>363</v>
      </c>
      <c r="I450">
        <v>6.8449999999999998</v>
      </c>
      <c r="J450">
        <v>373.16</v>
      </c>
      <c r="K450">
        <v>81</v>
      </c>
    </row>
    <row r="451" spans="1:11">
      <c r="A451">
        <v>12003</v>
      </c>
      <c r="B451" t="s">
        <v>868</v>
      </c>
      <c r="C451" t="s">
        <v>869</v>
      </c>
      <c r="E451" t="s">
        <v>1209</v>
      </c>
      <c r="F451">
        <v>28</v>
      </c>
      <c r="G451">
        <v>1948</v>
      </c>
      <c r="H451">
        <v>423</v>
      </c>
      <c r="I451">
        <v>4.7510000000000003</v>
      </c>
      <c r="J451">
        <v>260.49400000000003</v>
      </c>
      <c r="K451">
        <v>89</v>
      </c>
    </row>
    <row r="452" spans="1:11">
      <c r="A452">
        <v>15015</v>
      </c>
      <c r="B452" t="s">
        <v>1550</v>
      </c>
      <c r="C452" t="s">
        <v>1551</v>
      </c>
      <c r="E452" t="s">
        <v>472</v>
      </c>
      <c r="F452">
        <v>54</v>
      </c>
      <c r="G452">
        <v>1978</v>
      </c>
      <c r="H452">
        <v>251</v>
      </c>
      <c r="I452">
        <v>12.298</v>
      </c>
      <c r="J452">
        <v>750.14400000000001</v>
      </c>
      <c r="K452">
        <v>260</v>
      </c>
    </row>
    <row r="453" spans="1:11">
      <c r="A453">
        <v>99539</v>
      </c>
      <c r="B453" t="s">
        <v>870</v>
      </c>
      <c r="C453" t="s">
        <v>871</v>
      </c>
      <c r="E453" t="s">
        <v>472</v>
      </c>
      <c r="F453">
        <v>54</v>
      </c>
      <c r="G453">
        <v>1974</v>
      </c>
      <c r="H453">
        <v>177</v>
      </c>
      <c r="I453">
        <v>15.266999999999999</v>
      </c>
      <c r="J453">
        <v>1189.9680000000001</v>
      </c>
      <c r="K453">
        <v>488</v>
      </c>
    </row>
    <row r="454" spans="1:11">
      <c r="A454">
        <v>20730</v>
      </c>
      <c r="B454" t="s">
        <v>870</v>
      </c>
      <c r="C454" t="s">
        <v>634</v>
      </c>
      <c r="E454" t="s">
        <v>472</v>
      </c>
      <c r="F454">
        <v>54</v>
      </c>
      <c r="G454">
        <v>1952</v>
      </c>
      <c r="H454">
        <v>137</v>
      </c>
      <c r="I454">
        <v>26.689</v>
      </c>
      <c r="J454">
        <v>1550.328</v>
      </c>
      <c r="K454">
        <v>419</v>
      </c>
    </row>
    <row r="455" spans="1:11">
      <c r="A455">
        <v>99540</v>
      </c>
      <c r="B455" t="s">
        <v>870</v>
      </c>
      <c r="C455" t="s">
        <v>872</v>
      </c>
      <c r="E455" t="s">
        <v>472</v>
      </c>
      <c r="F455">
        <v>54</v>
      </c>
      <c r="G455">
        <v>1974</v>
      </c>
      <c r="H455">
        <v>187</v>
      </c>
      <c r="I455">
        <v>14.205</v>
      </c>
      <c r="J455">
        <v>1141.9939999999999</v>
      </c>
      <c r="K455">
        <v>488</v>
      </c>
    </row>
    <row r="456" spans="1:11">
      <c r="A456">
        <v>96216</v>
      </c>
      <c r="B456" t="s">
        <v>873</v>
      </c>
      <c r="C456" t="s">
        <v>874</v>
      </c>
      <c r="E456" t="s">
        <v>1218</v>
      </c>
      <c r="F456">
        <v>5</v>
      </c>
      <c r="G456">
        <v>1951</v>
      </c>
      <c r="H456">
        <v>208</v>
      </c>
      <c r="I456">
        <v>16.704000000000001</v>
      </c>
      <c r="J456">
        <v>1030.4010000000001</v>
      </c>
      <c r="K456">
        <v>459</v>
      </c>
    </row>
    <row r="457" spans="1:11">
      <c r="A457">
        <v>25047</v>
      </c>
      <c r="B457" t="s">
        <v>873</v>
      </c>
      <c r="C457" t="s">
        <v>543</v>
      </c>
      <c r="E457" t="s">
        <v>1218</v>
      </c>
      <c r="F457">
        <v>5</v>
      </c>
      <c r="G457">
        <v>1995</v>
      </c>
      <c r="H457">
        <v>578</v>
      </c>
      <c r="I457">
        <v>2.125</v>
      </c>
      <c r="J457">
        <v>81.024000000000001</v>
      </c>
      <c r="K457">
        <v>0</v>
      </c>
    </row>
    <row r="458" spans="1:11">
      <c r="A458">
        <v>14097</v>
      </c>
      <c r="B458" t="s">
        <v>1552</v>
      </c>
      <c r="C458" t="s">
        <v>720</v>
      </c>
      <c r="D458" t="s">
        <v>107</v>
      </c>
      <c r="E458" t="s">
        <v>1388</v>
      </c>
      <c r="F458">
        <v>82</v>
      </c>
      <c r="G458">
        <v>1979</v>
      </c>
      <c r="H458">
        <v>400</v>
      </c>
      <c r="I458">
        <v>4.8369999999999997</v>
      </c>
      <c r="J458">
        <v>308.197</v>
      </c>
      <c r="K458">
        <v>86</v>
      </c>
    </row>
    <row r="459" spans="1:11">
      <c r="A459">
        <v>16030</v>
      </c>
      <c r="B459" t="s">
        <v>1553</v>
      </c>
      <c r="C459" t="s">
        <v>599</v>
      </c>
      <c r="E459" t="s">
        <v>491</v>
      </c>
      <c r="F459">
        <v>21</v>
      </c>
      <c r="G459">
        <v>1941</v>
      </c>
      <c r="H459">
        <v>671</v>
      </c>
      <c r="I459">
        <v>1</v>
      </c>
      <c r="J459">
        <v>22.006</v>
      </c>
      <c r="K459">
        <v>0</v>
      </c>
    </row>
    <row r="460" spans="1:11">
      <c r="A460">
        <v>17007</v>
      </c>
      <c r="B460" t="s">
        <v>1554</v>
      </c>
      <c r="C460" t="s">
        <v>572</v>
      </c>
      <c r="E460" t="s">
        <v>1482</v>
      </c>
      <c r="F460">
        <v>85</v>
      </c>
      <c r="G460">
        <v>1952</v>
      </c>
      <c r="H460">
        <v>798</v>
      </c>
      <c r="I460">
        <v>0</v>
      </c>
      <c r="J460">
        <v>0</v>
      </c>
      <c r="K460">
        <v>0</v>
      </c>
    </row>
    <row r="461" spans="1:11">
      <c r="A461">
        <v>12080</v>
      </c>
      <c r="B461" t="s">
        <v>1233</v>
      </c>
      <c r="C461" t="s">
        <v>617</v>
      </c>
      <c r="D461" t="s">
        <v>107</v>
      </c>
      <c r="E461" t="s">
        <v>576</v>
      </c>
      <c r="F461">
        <v>73</v>
      </c>
      <c r="G461">
        <v>1944</v>
      </c>
      <c r="H461">
        <v>253</v>
      </c>
      <c r="I461">
        <v>14.72</v>
      </c>
      <c r="J461">
        <v>736.05799999999999</v>
      </c>
      <c r="K461">
        <v>140</v>
      </c>
    </row>
    <row r="462" spans="1:11">
      <c r="A462">
        <v>15033</v>
      </c>
      <c r="B462" t="s">
        <v>1555</v>
      </c>
      <c r="C462" t="s">
        <v>584</v>
      </c>
      <c r="E462" t="s">
        <v>576</v>
      </c>
      <c r="F462">
        <v>73</v>
      </c>
      <c r="G462">
        <v>1945</v>
      </c>
      <c r="H462">
        <v>194</v>
      </c>
      <c r="I462">
        <v>17.157</v>
      </c>
      <c r="J462">
        <v>1109.981</v>
      </c>
      <c r="K462">
        <v>395</v>
      </c>
    </row>
    <row r="463" spans="1:11">
      <c r="A463">
        <v>21857</v>
      </c>
      <c r="B463" t="s">
        <v>875</v>
      </c>
      <c r="C463" t="s">
        <v>572</v>
      </c>
      <c r="E463" t="s">
        <v>216</v>
      </c>
      <c r="F463">
        <v>33</v>
      </c>
      <c r="G463">
        <v>1961</v>
      </c>
      <c r="H463">
        <v>342</v>
      </c>
      <c r="I463">
        <v>9.5950000000000006</v>
      </c>
      <c r="J463">
        <v>430.73899999999998</v>
      </c>
      <c r="K463">
        <v>89</v>
      </c>
    </row>
    <row r="464" spans="1:11">
      <c r="A464">
        <v>17079</v>
      </c>
      <c r="B464" t="s">
        <v>1556</v>
      </c>
      <c r="C464" t="s">
        <v>1557</v>
      </c>
      <c r="E464" t="s">
        <v>1437</v>
      </c>
      <c r="F464">
        <v>86</v>
      </c>
      <c r="G464">
        <v>1974</v>
      </c>
      <c r="H464">
        <v>799</v>
      </c>
      <c r="I464">
        <v>0</v>
      </c>
      <c r="J464">
        <v>0</v>
      </c>
      <c r="K464">
        <v>0</v>
      </c>
    </row>
    <row r="465" spans="1:11">
      <c r="A465">
        <v>17057</v>
      </c>
      <c r="B465" t="s">
        <v>1558</v>
      </c>
      <c r="C465" t="s">
        <v>549</v>
      </c>
      <c r="D465" t="s">
        <v>91</v>
      </c>
      <c r="E465" t="s">
        <v>1437</v>
      </c>
      <c r="F465">
        <v>86</v>
      </c>
      <c r="G465">
        <v>2000</v>
      </c>
      <c r="H465">
        <v>572</v>
      </c>
      <c r="I465">
        <v>1.907</v>
      </c>
      <c r="J465">
        <v>87.385999999999996</v>
      </c>
      <c r="K465">
        <v>0</v>
      </c>
    </row>
    <row r="466" spans="1:11">
      <c r="A466">
        <v>11001</v>
      </c>
      <c r="B466" t="s">
        <v>541</v>
      </c>
      <c r="C466" t="s">
        <v>572</v>
      </c>
      <c r="E466" t="s">
        <v>1559</v>
      </c>
      <c r="F466">
        <v>80</v>
      </c>
      <c r="G466">
        <v>1954</v>
      </c>
      <c r="H466">
        <v>8</v>
      </c>
      <c r="I466">
        <v>42.25</v>
      </c>
      <c r="J466">
        <v>3705.5259999999998</v>
      </c>
      <c r="K466">
        <v>1837</v>
      </c>
    </row>
    <row r="467" spans="1:11">
      <c r="A467">
        <v>11039</v>
      </c>
      <c r="B467" t="s">
        <v>541</v>
      </c>
      <c r="C467" t="s">
        <v>758</v>
      </c>
      <c r="E467" t="s">
        <v>1559</v>
      </c>
      <c r="F467">
        <v>80</v>
      </c>
      <c r="G467">
        <v>1980</v>
      </c>
      <c r="H467">
        <v>27</v>
      </c>
      <c r="I467">
        <v>34.189</v>
      </c>
      <c r="J467">
        <v>2977.384</v>
      </c>
      <c r="K467">
        <v>1403</v>
      </c>
    </row>
    <row r="468" spans="1:11">
      <c r="A468">
        <v>15002</v>
      </c>
      <c r="B468" t="s">
        <v>541</v>
      </c>
      <c r="C468" t="s">
        <v>885</v>
      </c>
      <c r="E468" t="s">
        <v>1559</v>
      </c>
      <c r="F468">
        <v>80</v>
      </c>
      <c r="G468">
        <v>1978</v>
      </c>
      <c r="H468">
        <v>481</v>
      </c>
      <c r="I468">
        <v>1.875</v>
      </c>
      <c r="J468">
        <v>182.20099999999999</v>
      </c>
      <c r="K468">
        <v>93</v>
      </c>
    </row>
    <row r="469" spans="1:11">
      <c r="A469">
        <v>11002</v>
      </c>
      <c r="B469" t="s">
        <v>876</v>
      </c>
      <c r="C469" t="s">
        <v>539</v>
      </c>
      <c r="D469" t="s">
        <v>107</v>
      </c>
      <c r="E469" t="s">
        <v>1559</v>
      </c>
      <c r="F469">
        <v>80</v>
      </c>
      <c r="G469">
        <v>1956</v>
      </c>
      <c r="H469">
        <v>10</v>
      </c>
      <c r="I469">
        <v>40.375</v>
      </c>
      <c r="J469">
        <v>3497.3580000000002</v>
      </c>
      <c r="K469">
        <v>1739</v>
      </c>
    </row>
    <row r="470" spans="1:11">
      <c r="A470">
        <v>10095</v>
      </c>
      <c r="B470" t="s">
        <v>1560</v>
      </c>
      <c r="C470" t="s">
        <v>825</v>
      </c>
      <c r="D470" t="s">
        <v>107</v>
      </c>
      <c r="E470" t="s">
        <v>487</v>
      </c>
      <c r="F470">
        <v>69</v>
      </c>
      <c r="G470">
        <v>1956</v>
      </c>
      <c r="H470">
        <v>325</v>
      </c>
      <c r="I470">
        <v>9.2970000000000006</v>
      </c>
      <c r="J470">
        <v>490.35899999999998</v>
      </c>
      <c r="K470">
        <v>148</v>
      </c>
    </row>
    <row r="471" spans="1:11">
      <c r="A471">
        <v>96130</v>
      </c>
      <c r="B471" t="s">
        <v>877</v>
      </c>
      <c r="C471" t="s">
        <v>878</v>
      </c>
      <c r="E471" t="s">
        <v>484</v>
      </c>
      <c r="F471">
        <v>7</v>
      </c>
      <c r="G471">
        <v>1958</v>
      </c>
      <c r="H471">
        <v>585</v>
      </c>
      <c r="I471">
        <v>3.25</v>
      </c>
      <c r="J471">
        <v>74.031999999999996</v>
      </c>
      <c r="K471">
        <v>0</v>
      </c>
    </row>
    <row r="472" spans="1:11">
      <c r="A472">
        <v>15052</v>
      </c>
      <c r="B472" t="s">
        <v>1561</v>
      </c>
      <c r="C472" t="s">
        <v>572</v>
      </c>
      <c r="E472" t="s">
        <v>216</v>
      </c>
      <c r="F472">
        <v>33</v>
      </c>
      <c r="G472">
        <v>1952</v>
      </c>
      <c r="H472">
        <v>641</v>
      </c>
      <c r="I472">
        <v>1.125</v>
      </c>
      <c r="J472">
        <v>40.902999999999999</v>
      </c>
      <c r="K472">
        <v>0</v>
      </c>
    </row>
    <row r="473" spans="1:11">
      <c r="A473">
        <v>21823</v>
      </c>
      <c r="B473" t="s">
        <v>879</v>
      </c>
      <c r="C473" t="s">
        <v>797</v>
      </c>
      <c r="E473" t="s">
        <v>1234</v>
      </c>
      <c r="F473">
        <v>36</v>
      </c>
      <c r="G473">
        <v>1970</v>
      </c>
      <c r="H473">
        <v>800</v>
      </c>
      <c r="I473">
        <v>0</v>
      </c>
      <c r="J473">
        <v>0</v>
      </c>
      <c r="K473">
        <v>0</v>
      </c>
    </row>
    <row r="474" spans="1:11">
      <c r="A474">
        <v>25035</v>
      </c>
      <c r="B474" t="s">
        <v>881</v>
      </c>
      <c r="C474" t="s">
        <v>731</v>
      </c>
      <c r="E474" t="s">
        <v>1195</v>
      </c>
      <c r="F474">
        <v>44</v>
      </c>
      <c r="G474">
        <v>1971</v>
      </c>
      <c r="H474">
        <v>801</v>
      </c>
      <c r="I474">
        <v>0</v>
      </c>
      <c r="J474">
        <v>0</v>
      </c>
      <c r="K474">
        <v>0</v>
      </c>
    </row>
    <row r="475" spans="1:11">
      <c r="A475">
        <v>10087</v>
      </c>
      <c r="B475" t="s">
        <v>882</v>
      </c>
      <c r="C475" t="s">
        <v>883</v>
      </c>
      <c r="E475" t="s">
        <v>487</v>
      </c>
      <c r="F475">
        <v>69</v>
      </c>
      <c r="G475">
        <v>1959</v>
      </c>
      <c r="H475">
        <v>802</v>
      </c>
      <c r="I475">
        <v>0</v>
      </c>
      <c r="J475">
        <v>0</v>
      </c>
      <c r="K475">
        <v>0</v>
      </c>
    </row>
    <row r="476" spans="1:11">
      <c r="A476">
        <v>13080</v>
      </c>
      <c r="B476" t="s">
        <v>1562</v>
      </c>
      <c r="C476" t="s">
        <v>534</v>
      </c>
      <c r="E476" t="s">
        <v>497</v>
      </c>
      <c r="F476">
        <v>51</v>
      </c>
      <c r="G476">
        <v>1951</v>
      </c>
      <c r="H476">
        <v>391</v>
      </c>
      <c r="I476">
        <v>3</v>
      </c>
      <c r="J476">
        <v>320.83199999999999</v>
      </c>
      <c r="K476">
        <v>180</v>
      </c>
    </row>
    <row r="477" spans="1:11">
      <c r="A477">
        <v>13081</v>
      </c>
      <c r="B477" t="s">
        <v>1563</v>
      </c>
      <c r="C477" t="s">
        <v>617</v>
      </c>
      <c r="D477" t="s">
        <v>107</v>
      </c>
      <c r="E477" t="s">
        <v>497</v>
      </c>
      <c r="F477">
        <v>51</v>
      </c>
      <c r="G477">
        <v>1958</v>
      </c>
      <c r="H477">
        <v>392</v>
      </c>
      <c r="I477">
        <v>3</v>
      </c>
      <c r="J477">
        <v>320.83199999999999</v>
      </c>
      <c r="K477">
        <v>180</v>
      </c>
    </row>
    <row r="478" spans="1:11">
      <c r="A478">
        <v>23034</v>
      </c>
      <c r="B478" t="s">
        <v>884</v>
      </c>
      <c r="C478" t="s">
        <v>590</v>
      </c>
      <c r="E478" t="s">
        <v>1195</v>
      </c>
      <c r="F478">
        <v>44</v>
      </c>
      <c r="G478">
        <v>1968</v>
      </c>
      <c r="H478">
        <v>803</v>
      </c>
      <c r="I478">
        <v>0</v>
      </c>
      <c r="J478">
        <v>0</v>
      </c>
      <c r="K478">
        <v>0</v>
      </c>
    </row>
    <row r="479" spans="1:11">
      <c r="A479">
        <v>13056</v>
      </c>
      <c r="B479" t="s">
        <v>1235</v>
      </c>
      <c r="C479" t="s">
        <v>627</v>
      </c>
      <c r="E479" t="s">
        <v>161</v>
      </c>
      <c r="F479">
        <v>30</v>
      </c>
      <c r="G479">
        <v>1978</v>
      </c>
      <c r="H479">
        <v>489</v>
      </c>
      <c r="I479">
        <v>4.9379999999999997</v>
      </c>
      <c r="J479">
        <v>169.19300000000001</v>
      </c>
      <c r="K479">
        <v>0</v>
      </c>
    </row>
    <row r="480" spans="1:11">
      <c r="A480">
        <v>10071</v>
      </c>
      <c r="B480" t="s">
        <v>886</v>
      </c>
      <c r="C480" t="s">
        <v>575</v>
      </c>
      <c r="E480" t="s">
        <v>491</v>
      </c>
      <c r="F480">
        <v>21</v>
      </c>
      <c r="G480">
        <v>1958</v>
      </c>
      <c r="H480">
        <v>183</v>
      </c>
      <c r="I480">
        <v>14.095000000000001</v>
      </c>
      <c r="J480">
        <v>1163.5630000000001</v>
      </c>
      <c r="K480">
        <v>601</v>
      </c>
    </row>
    <row r="481" spans="1:11">
      <c r="A481">
        <v>12076</v>
      </c>
      <c r="B481" t="s">
        <v>1236</v>
      </c>
      <c r="C481" t="s">
        <v>880</v>
      </c>
      <c r="D481" t="s">
        <v>107</v>
      </c>
      <c r="E481" t="s">
        <v>491</v>
      </c>
      <c r="F481">
        <v>21</v>
      </c>
      <c r="G481">
        <v>1991</v>
      </c>
      <c r="H481">
        <v>277</v>
      </c>
      <c r="I481">
        <v>10.609</v>
      </c>
      <c r="J481">
        <v>665.62</v>
      </c>
      <c r="K481">
        <v>309</v>
      </c>
    </row>
    <row r="482" spans="1:11">
      <c r="A482">
        <v>23056</v>
      </c>
      <c r="B482" t="s">
        <v>887</v>
      </c>
      <c r="C482" t="s">
        <v>888</v>
      </c>
      <c r="D482" t="s">
        <v>107</v>
      </c>
      <c r="E482" t="s">
        <v>163</v>
      </c>
      <c r="F482">
        <v>43</v>
      </c>
      <c r="G482">
        <v>1981</v>
      </c>
      <c r="H482">
        <v>160</v>
      </c>
      <c r="I482">
        <v>16.891999999999999</v>
      </c>
      <c r="J482">
        <v>1343.7049999999999</v>
      </c>
      <c r="K482">
        <v>594</v>
      </c>
    </row>
    <row r="483" spans="1:11">
      <c r="A483">
        <v>14009</v>
      </c>
      <c r="B483" t="s">
        <v>887</v>
      </c>
      <c r="C483" t="s">
        <v>922</v>
      </c>
      <c r="D483" t="s">
        <v>107</v>
      </c>
      <c r="E483" t="s">
        <v>1170</v>
      </c>
      <c r="F483">
        <v>75</v>
      </c>
      <c r="G483">
        <v>1966</v>
      </c>
      <c r="H483">
        <v>387</v>
      </c>
      <c r="I483">
        <v>4.8129999999999997</v>
      </c>
      <c r="J483">
        <v>332.79300000000001</v>
      </c>
      <c r="K483">
        <v>142</v>
      </c>
    </row>
    <row r="484" spans="1:11">
      <c r="A484">
        <v>16124</v>
      </c>
      <c r="B484" t="s">
        <v>887</v>
      </c>
      <c r="C484" t="s">
        <v>546</v>
      </c>
      <c r="D484" t="s">
        <v>107</v>
      </c>
      <c r="E484" t="s">
        <v>576</v>
      </c>
      <c r="F484">
        <v>73</v>
      </c>
      <c r="G484">
        <v>1987</v>
      </c>
      <c r="H484">
        <v>389</v>
      </c>
      <c r="I484">
        <v>7.2110000000000003</v>
      </c>
      <c r="J484">
        <v>329.654</v>
      </c>
      <c r="K484">
        <v>20</v>
      </c>
    </row>
    <row r="485" spans="1:11">
      <c r="A485">
        <v>15073</v>
      </c>
      <c r="B485" t="s">
        <v>1564</v>
      </c>
      <c r="C485" t="s">
        <v>534</v>
      </c>
      <c r="E485" t="s">
        <v>497</v>
      </c>
      <c r="F485">
        <v>51</v>
      </c>
      <c r="G485">
        <v>1944</v>
      </c>
      <c r="H485">
        <v>421</v>
      </c>
      <c r="I485">
        <v>4.7030000000000003</v>
      </c>
      <c r="J485">
        <v>264.79500000000002</v>
      </c>
      <c r="K485">
        <v>64</v>
      </c>
    </row>
    <row r="486" spans="1:11">
      <c r="A486">
        <v>16122</v>
      </c>
      <c r="B486" t="s">
        <v>1564</v>
      </c>
      <c r="C486" t="s">
        <v>553</v>
      </c>
      <c r="E486" t="s">
        <v>576</v>
      </c>
      <c r="F486">
        <v>73</v>
      </c>
      <c r="G486">
        <v>1982</v>
      </c>
      <c r="H486">
        <v>390</v>
      </c>
      <c r="I486">
        <v>8.157</v>
      </c>
      <c r="J486">
        <v>329.09699999999998</v>
      </c>
      <c r="K486">
        <v>0</v>
      </c>
    </row>
    <row r="487" spans="1:11">
      <c r="A487">
        <v>27088</v>
      </c>
      <c r="B487" t="s">
        <v>889</v>
      </c>
      <c r="C487" t="s">
        <v>890</v>
      </c>
      <c r="D487" t="s">
        <v>107</v>
      </c>
      <c r="E487" t="s">
        <v>1210</v>
      </c>
      <c r="F487">
        <v>42</v>
      </c>
      <c r="G487">
        <v>1970</v>
      </c>
      <c r="H487">
        <v>70</v>
      </c>
      <c r="I487">
        <v>34</v>
      </c>
      <c r="J487">
        <v>2171.2840000000001</v>
      </c>
      <c r="K487">
        <v>791</v>
      </c>
    </row>
    <row r="488" spans="1:11">
      <c r="A488">
        <v>98482</v>
      </c>
      <c r="B488" t="s">
        <v>891</v>
      </c>
      <c r="C488" t="s">
        <v>595</v>
      </c>
      <c r="E488" t="s">
        <v>170</v>
      </c>
      <c r="F488">
        <v>14</v>
      </c>
      <c r="G488">
        <v>1970</v>
      </c>
      <c r="H488">
        <v>271</v>
      </c>
      <c r="I488">
        <v>6.97</v>
      </c>
      <c r="J488">
        <v>681.803</v>
      </c>
      <c r="K488">
        <v>381</v>
      </c>
    </row>
    <row r="489" spans="1:11">
      <c r="A489">
        <v>17021</v>
      </c>
      <c r="B489" t="s">
        <v>937</v>
      </c>
      <c r="C489" t="s">
        <v>1565</v>
      </c>
      <c r="D489" t="s">
        <v>91</v>
      </c>
      <c r="E489" t="s">
        <v>491</v>
      </c>
      <c r="F489">
        <v>21</v>
      </c>
      <c r="G489">
        <v>2009</v>
      </c>
      <c r="H489">
        <v>667</v>
      </c>
      <c r="I489">
        <v>0.96899999999999997</v>
      </c>
      <c r="J489">
        <v>24.568999999999999</v>
      </c>
      <c r="K489">
        <v>0</v>
      </c>
    </row>
    <row r="490" spans="1:11">
      <c r="A490">
        <v>29049</v>
      </c>
      <c r="B490" t="s">
        <v>892</v>
      </c>
      <c r="C490" t="s">
        <v>589</v>
      </c>
      <c r="E490" t="s">
        <v>495</v>
      </c>
      <c r="F490">
        <v>64</v>
      </c>
      <c r="G490">
        <v>1987</v>
      </c>
      <c r="H490">
        <v>52</v>
      </c>
      <c r="I490">
        <v>35.5</v>
      </c>
      <c r="J490">
        <v>2452.127</v>
      </c>
      <c r="K490">
        <v>1004</v>
      </c>
    </row>
    <row r="491" spans="1:11">
      <c r="A491">
        <v>16136</v>
      </c>
      <c r="B491" t="s">
        <v>1566</v>
      </c>
      <c r="C491" t="s">
        <v>1567</v>
      </c>
      <c r="D491" t="s">
        <v>655</v>
      </c>
      <c r="E491" t="s">
        <v>491</v>
      </c>
      <c r="F491">
        <v>21</v>
      </c>
      <c r="G491">
        <v>2006</v>
      </c>
      <c r="H491">
        <v>527</v>
      </c>
      <c r="I491">
        <v>4.625</v>
      </c>
      <c r="J491">
        <v>121.87</v>
      </c>
      <c r="K491">
        <v>0</v>
      </c>
    </row>
    <row r="492" spans="1:11">
      <c r="A492">
        <v>17031</v>
      </c>
      <c r="B492" t="s">
        <v>1568</v>
      </c>
      <c r="C492" t="s">
        <v>531</v>
      </c>
      <c r="D492" t="s">
        <v>91</v>
      </c>
      <c r="E492" t="s">
        <v>501</v>
      </c>
      <c r="F492">
        <v>1</v>
      </c>
      <c r="G492">
        <v>2004</v>
      </c>
      <c r="H492">
        <v>804</v>
      </c>
      <c r="I492">
        <v>0</v>
      </c>
      <c r="J492">
        <v>0</v>
      </c>
      <c r="K492">
        <v>0</v>
      </c>
    </row>
    <row r="493" spans="1:11">
      <c r="A493">
        <v>27071</v>
      </c>
      <c r="B493" t="s">
        <v>893</v>
      </c>
      <c r="C493" t="s">
        <v>531</v>
      </c>
      <c r="E493" t="s">
        <v>1196</v>
      </c>
      <c r="F493">
        <v>61</v>
      </c>
      <c r="G493">
        <v>1986</v>
      </c>
      <c r="H493">
        <v>614</v>
      </c>
      <c r="I493">
        <v>2.4060000000000001</v>
      </c>
      <c r="J493">
        <v>53.984999999999999</v>
      </c>
      <c r="K493">
        <v>0</v>
      </c>
    </row>
    <row r="494" spans="1:11">
      <c r="A494">
        <v>27073</v>
      </c>
      <c r="B494" t="s">
        <v>893</v>
      </c>
      <c r="C494" t="s">
        <v>564</v>
      </c>
      <c r="E494" t="s">
        <v>1196</v>
      </c>
      <c r="F494">
        <v>61</v>
      </c>
      <c r="G494">
        <v>1988</v>
      </c>
      <c r="H494">
        <v>543</v>
      </c>
      <c r="I494">
        <v>4.125</v>
      </c>
      <c r="J494">
        <v>109.246</v>
      </c>
      <c r="K494">
        <v>0</v>
      </c>
    </row>
    <row r="495" spans="1:11">
      <c r="A495">
        <v>14046</v>
      </c>
      <c r="B495" t="s">
        <v>893</v>
      </c>
      <c r="C495" t="s">
        <v>595</v>
      </c>
      <c r="E495" t="s">
        <v>501</v>
      </c>
      <c r="F495">
        <v>1</v>
      </c>
      <c r="G495">
        <v>1953</v>
      </c>
      <c r="H495">
        <v>574</v>
      </c>
      <c r="I495">
        <v>3.25</v>
      </c>
      <c r="J495">
        <v>86.671000000000006</v>
      </c>
      <c r="K495">
        <v>0</v>
      </c>
    </row>
    <row r="496" spans="1:11">
      <c r="A496">
        <v>13004</v>
      </c>
      <c r="B496" t="s">
        <v>1237</v>
      </c>
      <c r="C496" t="s">
        <v>535</v>
      </c>
      <c r="E496" t="s">
        <v>470</v>
      </c>
      <c r="F496">
        <v>20</v>
      </c>
      <c r="G496">
        <v>1965</v>
      </c>
      <c r="H496">
        <v>149</v>
      </c>
      <c r="I496">
        <v>18.690000000000001</v>
      </c>
      <c r="J496">
        <v>1475.077</v>
      </c>
      <c r="K496">
        <v>672</v>
      </c>
    </row>
    <row r="497" spans="1:11">
      <c r="A497">
        <v>21821</v>
      </c>
      <c r="B497" t="s">
        <v>894</v>
      </c>
      <c r="C497" t="s">
        <v>590</v>
      </c>
      <c r="E497" t="s">
        <v>1234</v>
      </c>
      <c r="F497">
        <v>36</v>
      </c>
      <c r="G497">
        <v>1960</v>
      </c>
      <c r="H497">
        <v>805</v>
      </c>
      <c r="I497">
        <v>0</v>
      </c>
      <c r="J497">
        <v>0</v>
      </c>
      <c r="K497">
        <v>0</v>
      </c>
    </row>
    <row r="498" spans="1:11">
      <c r="A498">
        <v>23054</v>
      </c>
      <c r="B498" t="s">
        <v>894</v>
      </c>
      <c r="C498" t="s">
        <v>535</v>
      </c>
      <c r="E498" t="s">
        <v>501</v>
      </c>
      <c r="F498">
        <v>1</v>
      </c>
      <c r="G498">
        <v>1978</v>
      </c>
      <c r="H498">
        <v>26</v>
      </c>
      <c r="I498">
        <v>44.125</v>
      </c>
      <c r="J498">
        <v>2989.4989999999998</v>
      </c>
      <c r="K498">
        <v>997</v>
      </c>
    </row>
    <row r="499" spans="1:11">
      <c r="A499">
        <v>12009</v>
      </c>
      <c r="B499" t="s">
        <v>895</v>
      </c>
      <c r="C499" t="s">
        <v>896</v>
      </c>
      <c r="E499" t="s">
        <v>172</v>
      </c>
      <c r="F499">
        <v>48</v>
      </c>
      <c r="G499">
        <v>1960</v>
      </c>
      <c r="H499">
        <v>120</v>
      </c>
      <c r="I499">
        <v>22.158000000000001</v>
      </c>
      <c r="J499">
        <v>1720.3710000000001</v>
      </c>
      <c r="K499">
        <v>876</v>
      </c>
    </row>
    <row r="500" spans="1:11">
      <c r="A500">
        <v>12045</v>
      </c>
      <c r="B500" t="s">
        <v>897</v>
      </c>
      <c r="C500" t="s">
        <v>898</v>
      </c>
      <c r="D500" t="s">
        <v>107</v>
      </c>
      <c r="E500" t="s">
        <v>172</v>
      </c>
      <c r="F500">
        <v>48</v>
      </c>
      <c r="G500">
        <v>1965</v>
      </c>
      <c r="H500">
        <v>480</v>
      </c>
      <c r="I500">
        <v>2.9849999999999999</v>
      </c>
      <c r="J500">
        <v>182.358</v>
      </c>
      <c r="K500">
        <v>68</v>
      </c>
    </row>
    <row r="501" spans="1:11">
      <c r="A501">
        <v>16061</v>
      </c>
      <c r="B501" t="s">
        <v>1569</v>
      </c>
      <c r="C501" t="s">
        <v>584</v>
      </c>
      <c r="E501" t="s">
        <v>1487</v>
      </c>
      <c r="F501">
        <v>83</v>
      </c>
      <c r="G501">
        <v>1969</v>
      </c>
      <c r="H501">
        <v>806</v>
      </c>
      <c r="I501">
        <v>0</v>
      </c>
      <c r="J501">
        <v>0</v>
      </c>
      <c r="K501">
        <v>0</v>
      </c>
    </row>
    <row r="502" spans="1:11">
      <c r="A502">
        <v>10012</v>
      </c>
      <c r="B502" t="s">
        <v>899</v>
      </c>
      <c r="C502" t="s">
        <v>589</v>
      </c>
      <c r="E502" t="s">
        <v>1207</v>
      </c>
      <c r="F502">
        <v>66</v>
      </c>
      <c r="G502">
        <v>1975</v>
      </c>
      <c r="H502">
        <v>521</v>
      </c>
      <c r="I502">
        <v>4.5</v>
      </c>
      <c r="J502">
        <v>128.63800000000001</v>
      </c>
      <c r="K502">
        <v>0</v>
      </c>
    </row>
    <row r="503" spans="1:11">
      <c r="A503">
        <v>10011</v>
      </c>
      <c r="B503" t="s">
        <v>899</v>
      </c>
      <c r="C503" t="s">
        <v>535</v>
      </c>
      <c r="E503" t="s">
        <v>1207</v>
      </c>
      <c r="F503">
        <v>66</v>
      </c>
      <c r="G503">
        <v>1976</v>
      </c>
      <c r="H503">
        <v>503</v>
      </c>
      <c r="I503">
        <v>5.0309999999999997</v>
      </c>
      <c r="J503">
        <v>152.07499999999999</v>
      </c>
      <c r="K503">
        <v>0</v>
      </c>
    </row>
    <row r="504" spans="1:11">
      <c r="A504">
        <v>16128</v>
      </c>
      <c r="B504" t="s">
        <v>1570</v>
      </c>
      <c r="C504" t="s">
        <v>1571</v>
      </c>
      <c r="D504" t="s">
        <v>91</v>
      </c>
      <c r="E504" t="s">
        <v>1197</v>
      </c>
      <c r="F504">
        <v>2</v>
      </c>
      <c r="G504">
        <v>2009</v>
      </c>
      <c r="H504">
        <v>807</v>
      </c>
      <c r="I504">
        <v>0</v>
      </c>
      <c r="J504">
        <v>0</v>
      </c>
      <c r="K504">
        <v>0</v>
      </c>
    </row>
    <row r="505" spans="1:11">
      <c r="A505">
        <v>16129</v>
      </c>
      <c r="B505" t="s">
        <v>1572</v>
      </c>
      <c r="C505" t="s">
        <v>1573</v>
      </c>
      <c r="D505" t="s">
        <v>655</v>
      </c>
      <c r="E505" t="s">
        <v>1197</v>
      </c>
      <c r="F505">
        <v>2</v>
      </c>
      <c r="G505">
        <v>2007</v>
      </c>
      <c r="H505">
        <v>808</v>
      </c>
      <c r="I505">
        <v>0</v>
      </c>
      <c r="J505">
        <v>0</v>
      </c>
      <c r="K505">
        <v>0</v>
      </c>
    </row>
    <row r="506" spans="1:11">
      <c r="A506">
        <v>13021</v>
      </c>
      <c r="B506" t="s">
        <v>900</v>
      </c>
      <c r="C506" t="s">
        <v>564</v>
      </c>
      <c r="E506" t="s">
        <v>1170</v>
      </c>
      <c r="F506">
        <v>75</v>
      </c>
      <c r="G506">
        <v>1956</v>
      </c>
      <c r="H506">
        <v>246</v>
      </c>
      <c r="I506">
        <v>15.468999999999999</v>
      </c>
      <c r="J506">
        <v>785.51400000000001</v>
      </c>
      <c r="K506">
        <v>251</v>
      </c>
    </row>
    <row r="507" spans="1:11">
      <c r="A507">
        <v>13064</v>
      </c>
      <c r="B507" t="s">
        <v>1238</v>
      </c>
      <c r="C507" t="s">
        <v>541</v>
      </c>
      <c r="E507" t="s">
        <v>501</v>
      </c>
      <c r="F507">
        <v>1</v>
      </c>
      <c r="G507">
        <v>1998</v>
      </c>
      <c r="H507">
        <v>17</v>
      </c>
      <c r="I507">
        <v>45.5</v>
      </c>
      <c r="J507">
        <v>3288.4859999999999</v>
      </c>
      <c r="K507">
        <v>1332</v>
      </c>
    </row>
    <row r="508" spans="1:11">
      <c r="A508">
        <v>28029</v>
      </c>
      <c r="B508" t="s">
        <v>901</v>
      </c>
      <c r="C508" t="s">
        <v>539</v>
      </c>
      <c r="D508" t="s">
        <v>107</v>
      </c>
      <c r="E508" t="s">
        <v>643</v>
      </c>
      <c r="F508">
        <v>62</v>
      </c>
      <c r="G508">
        <v>1968</v>
      </c>
      <c r="H508">
        <v>398</v>
      </c>
      <c r="I508">
        <v>4</v>
      </c>
      <c r="J508">
        <v>308.64</v>
      </c>
      <c r="K508">
        <v>141</v>
      </c>
    </row>
    <row r="509" spans="1:11">
      <c r="A509">
        <v>28030</v>
      </c>
      <c r="B509" t="s">
        <v>902</v>
      </c>
      <c r="C509" t="s">
        <v>564</v>
      </c>
      <c r="E509" t="s">
        <v>643</v>
      </c>
      <c r="F509">
        <v>62</v>
      </c>
      <c r="G509">
        <v>1967</v>
      </c>
      <c r="H509">
        <v>322</v>
      </c>
      <c r="I509">
        <v>7.625</v>
      </c>
      <c r="J509">
        <v>500.29500000000002</v>
      </c>
      <c r="K509">
        <v>210</v>
      </c>
    </row>
    <row r="510" spans="1:11">
      <c r="A510">
        <v>13069</v>
      </c>
      <c r="B510" t="s">
        <v>902</v>
      </c>
      <c r="C510" t="s">
        <v>649</v>
      </c>
      <c r="D510" t="s">
        <v>91</v>
      </c>
      <c r="E510" t="s">
        <v>643</v>
      </c>
      <c r="F510">
        <v>62</v>
      </c>
      <c r="G510">
        <v>2003</v>
      </c>
      <c r="H510">
        <v>438</v>
      </c>
      <c r="I510">
        <v>2.625</v>
      </c>
      <c r="J510">
        <v>229.01400000000001</v>
      </c>
      <c r="K510">
        <v>119</v>
      </c>
    </row>
    <row r="511" spans="1:11">
      <c r="A511">
        <v>99532</v>
      </c>
      <c r="B511" t="s">
        <v>903</v>
      </c>
      <c r="C511" t="s">
        <v>690</v>
      </c>
      <c r="E511" t="s">
        <v>198</v>
      </c>
      <c r="F511">
        <v>17</v>
      </c>
      <c r="G511">
        <v>1965</v>
      </c>
      <c r="H511">
        <v>4</v>
      </c>
      <c r="I511">
        <v>55.25</v>
      </c>
      <c r="J511">
        <v>4189.6180000000004</v>
      </c>
      <c r="K511">
        <v>1779</v>
      </c>
    </row>
    <row r="512" spans="1:11">
      <c r="A512">
        <v>21775</v>
      </c>
      <c r="B512" t="s">
        <v>903</v>
      </c>
      <c r="C512" t="s">
        <v>589</v>
      </c>
      <c r="E512" t="s">
        <v>198</v>
      </c>
      <c r="F512">
        <v>17</v>
      </c>
      <c r="G512">
        <v>1991</v>
      </c>
      <c r="H512">
        <v>3</v>
      </c>
      <c r="I512">
        <v>57</v>
      </c>
      <c r="J512">
        <v>4356.6040000000003</v>
      </c>
      <c r="K512">
        <v>1849</v>
      </c>
    </row>
    <row r="513" spans="1:11">
      <c r="A513">
        <v>21774</v>
      </c>
      <c r="B513" t="s">
        <v>903</v>
      </c>
      <c r="C513" t="s">
        <v>553</v>
      </c>
      <c r="E513" t="s">
        <v>198</v>
      </c>
      <c r="F513">
        <v>17</v>
      </c>
      <c r="G513">
        <v>1994</v>
      </c>
      <c r="H513">
        <v>2</v>
      </c>
      <c r="I513">
        <v>52.875</v>
      </c>
      <c r="J513">
        <v>4400.5050000000001</v>
      </c>
      <c r="K513">
        <v>1841</v>
      </c>
    </row>
    <row r="514" spans="1:11">
      <c r="A514">
        <v>15038</v>
      </c>
      <c r="B514" t="s">
        <v>904</v>
      </c>
      <c r="C514" t="s">
        <v>880</v>
      </c>
      <c r="D514" t="s">
        <v>107</v>
      </c>
      <c r="E514" t="s">
        <v>1397</v>
      </c>
      <c r="F514">
        <v>6</v>
      </c>
      <c r="G514">
        <v>1979</v>
      </c>
      <c r="H514">
        <v>665</v>
      </c>
      <c r="I514">
        <v>0.75</v>
      </c>
      <c r="J514">
        <v>24.695</v>
      </c>
      <c r="K514">
        <v>0</v>
      </c>
    </row>
    <row r="515" spans="1:11">
      <c r="A515">
        <v>20702</v>
      </c>
      <c r="B515" t="s">
        <v>904</v>
      </c>
      <c r="C515" t="s">
        <v>905</v>
      </c>
      <c r="D515" t="s">
        <v>107</v>
      </c>
      <c r="E515" t="s">
        <v>198</v>
      </c>
      <c r="F515">
        <v>17</v>
      </c>
      <c r="G515">
        <v>1969</v>
      </c>
      <c r="H515">
        <v>333</v>
      </c>
      <c r="I515">
        <v>7.016</v>
      </c>
      <c r="J515">
        <v>457.56</v>
      </c>
      <c r="K515">
        <v>159</v>
      </c>
    </row>
    <row r="516" spans="1:11">
      <c r="A516">
        <v>15076</v>
      </c>
      <c r="B516" t="s">
        <v>1574</v>
      </c>
      <c r="C516" t="s">
        <v>708</v>
      </c>
      <c r="E516" t="s">
        <v>489</v>
      </c>
      <c r="F516">
        <v>13</v>
      </c>
      <c r="G516">
        <v>1984</v>
      </c>
      <c r="H516">
        <v>465</v>
      </c>
      <c r="I516">
        <v>1.8440000000000001</v>
      </c>
      <c r="J516">
        <v>195.56100000000001</v>
      </c>
      <c r="K516">
        <v>120</v>
      </c>
    </row>
    <row r="517" spans="1:11">
      <c r="A517">
        <v>26060</v>
      </c>
      <c r="B517" t="s">
        <v>906</v>
      </c>
      <c r="C517" t="s">
        <v>589</v>
      </c>
      <c r="E517" t="s">
        <v>477</v>
      </c>
      <c r="F517">
        <v>27</v>
      </c>
      <c r="G517">
        <v>1953</v>
      </c>
      <c r="H517">
        <v>305</v>
      </c>
      <c r="I517">
        <v>7.97</v>
      </c>
      <c r="J517">
        <v>558.71</v>
      </c>
      <c r="K517">
        <v>205</v>
      </c>
    </row>
    <row r="518" spans="1:11">
      <c r="A518">
        <v>15047</v>
      </c>
      <c r="B518" t="s">
        <v>1575</v>
      </c>
      <c r="C518" t="s">
        <v>551</v>
      </c>
      <c r="E518" t="s">
        <v>472</v>
      </c>
      <c r="F518">
        <v>54</v>
      </c>
      <c r="G518">
        <v>1978</v>
      </c>
      <c r="H518">
        <v>81</v>
      </c>
      <c r="I518">
        <v>32.125</v>
      </c>
      <c r="J518">
        <v>2060.7849999999999</v>
      </c>
      <c r="K518">
        <v>1009</v>
      </c>
    </row>
    <row r="519" spans="1:11">
      <c r="A519">
        <v>24225</v>
      </c>
      <c r="B519" t="s">
        <v>907</v>
      </c>
      <c r="C519" t="s">
        <v>551</v>
      </c>
      <c r="E519" t="s">
        <v>497</v>
      </c>
      <c r="F519">
        <v>51</v>
      </c>
      <c r="G519">
        <v>1945</v>
      </c>
      <c r="H519">
        <v>688</v>
      </c>
      <c r="I519">
        <v>0.5</v>
      </c>
      <c r="J519">
        <v>12.82</v>
      </c>
      <c r="K519">
        <v>0</v>
      </c>
    </row>
    <row r="520" spans="1:11">
      <c r="A520">
        <v>12085</v>
      </c>
      <c r="B520" t="s">
        <v>1239</v>
      </c>
      <c r="C520" t="s">
        <v>537</v>
      </c>
      <c r="D520" t="s">
        <v>107</v>
      </c>
      <c r="E520" t="s">
        <v>576</v>
      </c>
      <c r="F520">
        <v>73</v>
      </c>
      <c r="G520">
        <v>1949</v>
      </c>
      <c r="H520">
        <v>138</v>
      </c>
      <c r="I520">
        <v>23.501000000000001</v>
      </c>
      <c r="J520">
        <v>1540.2650000000001</v>
      </c>
      <c r="K520">
        <v>712</v>
      </c>
    </row>
    <row r="521" spans="1:11">
      <c r="A521">
        <v>14049</v>
      </c>
      <c r="B521" t="s">
        <v>908</v>
      </c>
      <c r="C521" t="s">
        <v>608</v>
      </c>
      <c r="E521" t="s">
        <v>1343</v>
      </c>
      <c r="F521">
        <v>79</v>
      </c>
      <c r="G521">
        <v>1974</v>
      </c>
      <c r="H521">
        <v>252</v>
      </c>
      <c r="I521">
        <v>10.032</v>
      </c>
      <c r="J521">
        <v>736.62099999999998</v>
      </c>
      <c r="K521">
        <v>311</v>
      </c>
    </row>
    <row r="522" spans="1:11">
      <c r="A522">
        <v>29037</v>
      </c>
      <c r="B522" t="s">
        <v>908</v>
      </c>
      <c r="C522" t="s">
        <v>909</v>
      </c>
      <c r="E522" t="s">
        <v>198</v>
      </c>
      <c r="F522">
        <v>17</v>
      </c>
      <c r="G522">
        <v>1974</v>
      </c>
      <c r="H522">
        <v>79</v>
      </c>
      <c r="I522">
        <v>34.313000000000002</v>
      </c>
      <c r="J522">
        <v>2105.3389999999999</v>
      </c>
      <c r="K522">
        <v>797</v>
      </c>
    </row>
    <row r="523" spans="1:11">
      <c r="A523">
        <v>15014</v>
      </c>
      <c r="B523" t="s">
        <v>910</v>
      </c>
      <c r="C523" t="s">
        <v>1475</v>
      </c>
      <c r="D523" t="s">
        <v>655</v>
      </c>
      <c r="E523" t="s">
        <v>198</v>
      </c>
      <c r="F523">
        <v>17</v>
      </c>
      <c r="G523">
        <v>2006</v>
      </c>
      <c r="H523">
        <v>467</v>
      </c>
      <c r="I523">
        <v>3.625</v>
      </c>
      <c r="J523">
        <v>195.21799999999999</v>
      </c>
      <c r="K523">
        <v>43</v>
      </c>
    </row>
    <row r="524" spans="1:11">
      <c r="A524">
        <v>24330</v>
      </c>
      <c r="B524" t="s">
        <v>910</v>
      </c>
      <c r="C524" t="s">
        <v>684</v>
      </c>
      <c r="D524" t="s">
        <v>107</v>
      </c>
      <c r="E524" t="s">
        <v>198</v>
      </c>
      <c r="F524">
        <v>17</v>
      </c>
      <c r="G524">
        <v>1979</v>
      </c>
      <c r="H524">
        <v>74</v>
      </c>
      <c r="I524">
        <v>31</v>
      </c>
      <c r="J524">
        <v>2161.52</v>
      </c>
      <c r="K524">
        <v>988</v>
      </c>
    </row>
    <row r="525" spans="1:11">
      <c r="A525">
        <v>98446</v>
      </c>
      <c r="B525" t="s">
        <v>1576</v>
      </c>
      <c r="C525" t="s">
        <v>572</v>
      </c>
      <c r="E525" t="s">
        <v>470</v>
      </c>
      <c r="F525">
        <v>20</v>
      </c>
      <c r="G525">
        <v>1969</v>
      </c>
      <c r="H525">
        <v>15</v>
      </c>
      <c r="I525">
        <v>47.875</v>
      </c>
      <c r="J525">
        <v>3301.8040000000001</v>
      </c>
      <c r="K525">
        <v>1274</v>
      </c>
    </row>
    <row r="526" spans="1:11">
      <c r="A526">
        <v>16001</v>
      </c>
      <c r="B526" t="s">
        <v>911</v>
      </c>
      <c r="C526" t="s">
        <v>612</v>
      </c>
      <c r="E526" t="s">
        <v>1210</v>
      </c>
      <c r="F526">
        <v>42</v>
      </c>
      <c r="G526">
        <v>1981</v>
      </c>
      <c r="H526">
        <v>280</v>
      </c>
      <c r="I526">
        <v>12.345000000000001</v>
      </c>
      <c r="J526">
        <v>657.65800000000002</v>
      </c>
      <c r="K526">
        <v>179</v>
      </c>
    </row>
    <row r="527" spans="1:11">
      <c r="A527">
        <v>14027</v>
      </c>
      <c r="B527" t="s">
        <v>1577</v>
      </c>
      <c r="C527" t="s">
        <v>621</v>
      </c>
      <c r="E527" t="s">
        <v>200</v>
      </c>
      <c r="F527">
        <v>19</v>
      </c>
      <c r="G527">
        <v>1947</v>
      </c>
      <c r="H527">
        <v>558</v>
      </c>
      <c r="I527">
        <v>1.8280000000000001</v>
      </c>
      <c r="J527">
        <v>96.129000000000005</v>
      </c>
      <c r="K527">
        <v>25</v>
      </c>
    </row>
    <row r="528" spans="1:11">
      <c r="A528">
        <v>17074</v>
      </c>
      <c r="B528" t="s">
        <v>1578</v>
      </c>
      <c r="C528" t="s">
        <v>982</v>
      </c>
      <c r="D528" t="s">
        <v>107</v>
      </c>
      <c r="E528" t="s">
        <v>1200</v>
      </c>
      <c r="F528">
        <v>70</v>
      </c>
      <c r="G528">
        <v>1938</v>
      </c>
      <c r="H528">
        <v>809</v>
      </c>
      <c r="I528">
        <v>0</v>
      </c>
      <c r="J528">
        <v>0</v>
      </c>
      <c r="K528">
        <v>0</v>
      </c>
    </row>
    <row r="529" spans="1:11">
      <c r="A529">
        <v>27062</v>
      </c>
      <c r="B529" t="s">
        <v>912</v>
      </c>
      <c r="C529" t="s">
        <v>590</v>
      </c>
      <c r="E529" t="s">
        <v>623</v>
      </c>
      <c r="F529">
        <v>45</v>
      </c>
      <c r="G529">
        <v>1954</v>
      </c>
      <c r="H529">
        <v>162</v>
      </c>
      <c r="I529">
        <v>16.736000000000001</v>
      </c>
      <c r="J529">
        <v>1326.701</v>
      </c>
      <c r="K529">
        <v>572</v>
      </c>
    </row>
    <row r="530" spans="1:11">
      <c r="A530">
        <v>16003</v>
      </c>
      <c r="B530" t="s">
        <v>1579</v>
      </c>
      <c r="C530" t="s">
        <v>608</v>
      </c>
      <c r="D530" t="s">
        <v>91</v>
      </c>
      <c r="E530" t="s">
        <v>475</v>
      </c>
      <c r="F530">
        <v>63</v>
      </c>
      <c r="G530">
        <v>2007</v>
      </c>
      <c r="H530">
        <v>478</v>
      </c>
      <c r="I530">
        <v>5.3140000000000001</v>
      </c>
      <c r="J530">
        <v>183.86699999999999</v>
      </c>
      <c r="K530">
        <v>0</v>
      </c>
    </row>
    <row r="531" spans="1:11">
      <c r="A531">
        <v>25014</v>
      </c>
      <c r="B531" t="s">
        <v>913</v>
      </c>
      <c r="C531" t="s">
        <v>621</v>
      </c>
      <c r="E531" t="s">
        <v>1203</v>
      </c>
      <c r="F531">
        <v>55</v>
      </c>
      <c r="G531">
        <v>1959</v>
      </c>
      <c r="H531">
        <v>100</v>
      </c>
      <c r="I531">
        <v>20.876000000000001</v>
      </c>
      <c r="J531">
        <v>1877.8810000000001</v>
      </c>
      <c r="K531">
        <v>1027</v>
      </c>
    </row>
    <row r="532" spans="1:11">
      <c r="A532">
        <v>12070</v>
      </c>
      <c r="B532" t="s">
        <v>1240</v>
      </c>
      <c r="C532" t="s">
        <v>572</v>
      </c>
      <c r="E532" t="s">
        <v>495</v>
      </c>
      <c r="F532">
        <v>64</v>
      </c>
      <c r="G532">
        <v>1968</v>
      </c>
      <c r="H532">
        <v>69</v>
      </c>
      <c r="I532">
        <v>29.75</v>
      </c>
      <c r="J532">
        <v>2190.2950000000001</v>
      </c>
      <c r="K532">
        <v>1067</v>
      </c>
    </row>
    <row r="533" spans="1:11">
      <c r="A533">
        <v>29002</v>
      </c>
      <c r="B533" t="s">
        <v>914</v>
      </c>
      <c r="C533" t="s">
        <v>890</v>
      </c>
      <c r="D533" t="s">
        <v>107</v>
      </c>
      <c r="E533" t="s">
        <v>200</v>
      </c>
      <c r="F533">
        <v>19</v>
      </c>
      <c r="G533">
        <v>1975</v>
      </c>
      <c r="H533">
        <v>24</v>
      </c>
      <c r="I533">
        <v>41.875</v>
      </c>
      <c r="J533">
        <v>3065.3389999999999</v>
      </c>
      <c r="K533">
        <v>1352</v>
      </c>
    </row>
    <row r="534" spans="1:11">
      <c r="A534">
        <v>25015</v>
      </c>
      <c r="B534" t="s">
        <v>915</v>
      </c>
      <c r="C534" t="s">
        <v>555</v>
      </c>
      <c r="D534" t="s">
        <v>107</v>
      </c>
      <c r="E534" t="s">
        <v>1203</v>
      </c>
      <c r="F534">
        <v>55</v>
      </c>
      <c r="G534">
        <v>1960</v>
      </c>
      <c r="H534">
        <v>158</v>
      </c>
      <c r="I534">
        <v>15.750999999999999</v>
      </c>
      <c r="J534">
        <v>1348.5309999999999</v>
      </c>
      <c r="K534">
        <v>667</v>
      </c>
    </row>
    <row r="535" spans="1:11">
      <c r="A535">
        <v>24243</v>
      </c>
      <c r="B535" t="s">
        <v>916</v>
      </c>
      <c r="C535" t="s">
        <v>535</v>
      </c>
      <c r="E535" t="s">
        <v>550</v>
      </c>
      <c r="F535">
        <v>29</v>
      </c>
      <c r="G535">
        <v>1965</v>
      </c>
      <c r="H535">
        <v>810</v>
      </c>
      <c r="I535">
        <v>0</v>
      </c>
      <c r="J535">
        <v>0</v>
      </c>
      <c r="K535">
        <v>0</v>
      </c>
    </row>
    <row r="536" spans="1:11">
      <c r="A536">
        <v>23148</v>
      </c>
      <c r="B536" t="s">
        <v>917</v>
      </c>
      <c r="C536" t="s">
        <v>564</v>
      </c>
      <c r="E536" t="s">
        <v>172</v>
      </c>
      <c r="F536">
        <v>48</v>
      </c>
      <c r="G536">
        <v>1991</v>
      </c>
      <c r="H536">
        <v>172</v>
      </c>
      <c r="I536">
        <v>11.75</v>
      </c>
      <c r="J536">
        <v>1260.1489999999999</v>
      </c>
      <c r="K536">
        <v>650</v>
      </c>
    </row>
    <row r="537" spans="1:11">
      <c r="A537">
        <v>23083</v>
      </c>
      <c r="B537" t="s">
        <v>918</v>
      </c>
      <c r="C537" t="s">
        <v>653</v>
      </c>
      <c r="D537" t="s">
        <v>107</v>
      </c>
      <c r="E537" t="s">
        <v>172</v>
      </c>
      <c r="F537">
        <v>48</v>
      </c>
      <c r="G537">
        <v>1970</v>
      </c>
      <c r="H537">
        <v>811</v>
      </c>
      <c r="I537">
        <v>0</v>
      </c>
      <c r="J537">
        <v>0</v>
      </c>
      <c r="K537">
        <v>0</v>
      </c>
    </row>
    <row r="538" spans="1:11">
      <c r="A538">
        <v>16057</v>
      </c>
      <c r="B538" t="s">
        <v>919</v>
      </c>
      <c r="C538" t="s">
        <v>673</v>
      </c>
      <c r="E538" t="s">
        <v>1388</v>
      </c>
      <c r="F538">
        <v>82</v>
      </c>
      <c r="G538">
        <v>1972</v>
      </c>
      <c r="H538">
        <v>446</v>
      </c>
      <c r="I538">
        <v>2.5630000000000002</v>
      </c>
      <c r="J538">
        <v>214.89599999999999</v>
      </c>
      <c r="K538">
        <v>101</v>
      </c>
    </row>
    <row r="539" spans="1:11">
      <c r="A539">
        <v>98457</v>
      </c>
      <c r="B539" t="s">
        <v>920</v>
      </c>
      <c r="C539" t="s">
        <v>584</v>
      </c>
      <c r="E539" t="s">
        <v>470</v>
      </c>
      <c r="F539">
        <v>20</v>
      </c>
      <c r="G539">
        <v>1960</v>
      </c>
      <c r="H539">
        <v>284</v>
      </c>
      <c r="I539">
        <v>12.438000000000001</v>
      </c>
      <c r="J539">
        <v>631.80999999999995</v>
      </c>
      <c r="K539">
        <v>124</v>
      </c>
    </row>
    <row r="540" spans="1:11">
      <c r="A540">
        <v>98458</v>
      </c>
      <c r="B540" t="s">
        <v>921</v>
      </c>
      <c r="C540" t="s">
        <v>922</v>
      </c>
      <c r="D540" t="s">
        <v>107</v>
      </c>
      <c r="E540" t="s">
        <v>470</v>
      </c>
      <c r="F540">
        <v>20</v>
      </c>
      <c r="G540">
        <v>1962</v>
      </c>
      <c r="H540">
        <v>410</v>
      </c>
      <c r="I540">
        <v>4.8769999999999998</v>
      </c>
      <c r="J540">
        <v>285.61599999999999</v>
      </c>
      <c r="K540">
        <v>92</v>
      </c>
    </row>
    <row r="541" spans="1:11">
      <c r="A541">
        <v>21757</v>
      </c>
      <c r="B541" t="s">
        <v>923</v>
      </c>
      <c r="C541" t="s">
        <v>552</v>
      </c>
      <c r="E541" t="s">
        <v>496</v>
      </c>
      <c r="F541">
        <v>31</v>
      </c>
      <c r="G541">
        <v>1973</v>
      </c>
      <c r="H541">
        <v>378</v>
      </c>
      <c r="I541">
        <v>4.5</v>
      </c>
      <c r="J541">
        <v>343.76</v>
      </c>
      <c r="K541">
        <v>144</v>
      </c>
    </row>
    <row r="542" spans="1:11">
      <c r="A542">
        <v>16110</v>
      </c>
      <c r="B542" t="s">
        <v>1580</v>
      </c>
      <c r="C542" t="s">
        <v>589</v>
      </c>
      <c r="E542" t="s">
        <v>1437</v>
      </c>
      <c r="F542">
        <v>86</v>
      </c>
      <c r="G542">
        <v>1989</v>
      </c>
      <c r="H542">
        <v>427</v>
      </c>
      <c r="I542">
        <v>5.875</v>
      </c>
      <c r="J542">
        <v>257.01299999999998</v>
      </c>
      <c r="K542">
        <v>0</v>
      </c>
    </row>
    <row r="543" spans="1:11">
      <c r="A543">
        <v>14068</v>
      </c>
      <c r="B543" t="s">
        <v>1581</v>
      </c>
      <c r="C543" t="s">
        <v>625</v>
      </c>
      <c r="D543" t="s">
        <v>107</v>
      </c>
      <c r="E543" t="s">
        <v>1466</v>
      </c>
      <c r="F543">
        <v>77</v>
      </c>
      <c r="G543">
        <v>1950</v>
      </c>
      <c r="H543">
        <v>213</v>
      </c>
      <c r="I543">
        <v>15.282999999999999</v>
      </c>
      <c r="J543">
        <v>990.37199999999996</v>
      </c>
      <c r="K543">
        <v>421</v>
      </c>
    </row>
    <row r="544" spans="1:11">
      <c r="A544">
        <v>16031</v>
      </c>
      <c r="B544" t="s">
        <v>1582</v>
      </c>
      <c r="C544" t="s">
        <v>590</v>
      </c>
      <c r="E544" t="s">
        <v>491</v>
      </c>
      <c r="F544">
        <v>21</v>
      </c>
      <c r="G544">
        <v>1953</v>
      </c>
      <c r="H544">
        <v>812</v>
      </c>
      <c r="I544">
        <v>0</v>
      </c>
      <c r="J544">
        <v>0</v>
      </c>
      <c r="K544">
        <v>0</v>
      </c>
    </row>
    <row r="545" spans="1:11">
      <c r="A545">
        <v>15022</v>
      </c>
      <c r="B545" t="s">
        <v>1583</v>
      </c>
      <c r="C545" t="s">
        <v>683</v>
      </c>
      <c r="D545" t="s">
        <v>107</v>
      </c>
      <c r="E545" t="s">
        <v>1393</v>
      </c>
      <c r="F545">
        <v>81</v>
      </c>
      <c r="G545">
        <v>1995</v>
      </c>
      <c r="H545">
        <v>171</v>
      </c>
      <c r="I545">
        <v>16.469000000000001</v>
      </c>
      <c r="J545">
        <v>1265.81</v>
      </c>
      <c r="K545">
        <v>631</v>
      </c>
    </row>
    <row r="546" spans="1:11">
      <c r="A546">
        <v>15021</v>
      </c>
      <c r="B546" t="s">
        <v>1583</v>
      </c>
      <c r="C546" t="s">
        <v>1584</v>
      </c>
      <c r="E546" t="s">
        <v>1393</v>
      </c>
      <c r="F546">
        <v>81</v>
      </c>
      <c r="G546">
        <v>1970</v>
      </c>
      <c r="H546">
        <v>182</v>
      </c>
      <c r="I546">
        <v>25</v>
      </c>
      <c r="J546">
        <v>1166.8320000000001</v>
      </c>
      <c r="K546">
        <v>273</v>
      </c>
    </row>
    <row r="547" spans="1:11">
      <c r="A547">
        <v>11048</v>
      </c>
      <c r="B547" t="s">
        <v>924</v>
      </c>
      <c r="C547" t="s">
        <v>604</v>
      </c>
      <c r="E547" t="s">
        <v>495</v>
      </c>
      <c r="F547">
        <v>64</v>
      </c>
      <c r="G547">
        <v>1977</v>
      </c>
      <c r="H547">
        <v>151</v>
      </c>
      <c r="I547">
        <v>22.312999999999999</v>
      </c>
      <c r="J547">
        <v>1446.903</v>
      </c>
      <c r="K547">
        <v>576</v>
      </c>
    </row>
    <row r="548" spans="1:11">
      <c r="A548">
        <v>12053</v>
      </c>
      <c r="B548" t="s">
        <v>925</v>
      </c>
      <c r="C548" t="s">
        <v>690</v>
      </c>
      <c r="E548" t="s">
        <v>1167</v>
      </c>
      <c r="F548">
        <v>56</v>
      </c>
      <c r="G548">
        <v>1970</v>
      </c>
      <c r="H548">
        <v>116</v>
      </c>
      <c r="I548">
        <v>26.594999999999999</v>
      </c>
      <c r="J548">
        <v>1745.088</v>
      </c>
      <c r="K548">
        <v>739</v>
      </c>
    </row>
    <row r="549" spans="1:11">
      <c r="A549">
        <v>11023</v>
      </c>
      <c r="B549" t="s">
        <v>926</v>
      </c>
      <c r="C549" t="s">
        <v>731</v>
      </c>
      <c r="E549" t="s">
        <v>216</v>
      </c>
      <c r="F549">
        <v>33</v>
      </c>
      <c r="G549">
        <v>1979</v>
      </c>
      <c r="H549">
        <v>813</v>
      </c>
      <c r="I549">
        <v>0</v>
      </c>
      <c r="J549">
        <v>0</v>
      </c>
      <c r="K549">
        <v>0</v>
      </c>
    </row>
    <row r="550" spans="1:11">
      <c r="A550">
        <v>12026</v>
      </c>
      <c r="B550" t="s">
        <v>926</v>
      </c>
      <c r="C550" t="s">
        <v>551</v>
      </c>
      <c r="E550" t="s">
        <v>1200</v>
      </c>
      <c r="F550">
        <v>70</v>
      </c>
      <c r="G550">
        <v>1945</v>
      </c>
      <c r="H550">
        <v>814</v>
      </c>
      <c r="I550">
        <v>0</v>
      </c>
      <c r="J550">
        <v>0</v>
      </c>
      <c r="K550">
        <v>0</v>
      </c>
    </row>
    <row r="551" spans="1:11">
      <c r="A551">
        <v>13011</v>
      </c>
      <c r="B551" t="s">
        <v>926</v>
      </c>
      <c r="C551" t="s">
        <v>572</v>
      </c>
      <c r="E551" t="s">
        <v>1170</v>
      </c>
      <c r="F551">
        <v>75</v>
      </c>
      <c r="G551">
        <v>1958</v>
      </c>
      <c r="H551">
        <v>357</v>
      </c>
      <c r="I551">
        <v>8.1259999999999994</v>
      </c>
      <c r="J551">
        <v>384.27199999999999</v>
      </c>
      <c r="K551">
        <v>88</v>
      </c>
    </row>
    <row r="552" spans="1:11">
      <c r="A552">
        <v>16009</v>
      </c>
      <c r="B552" t="s">
        <v>927</v>
      </c>
      <c r="C552" t="s">
        <v>629</v>
      </c>
      <c r="D552" t="s">
        <v>107</v>
      </c>
      <c r="E552" t="s">
        <v>489</v>
      </c>
      <c r="F552">
        <v>13</v>
      </c>
      <c r="G552">
        <v>1989</v>
      </c>
      <c r="H552">
        <v>352</v>
      </c>
      <c r="I552">
        <v>5.9379999999999997</v>
      </c>
      <c r="J552">
        <v>394.67200000000003</v>
      </c>
      <c r="K552">
        <v>172</v>
      </c>
    </row>
    <row r="553" spans="1:11">
      <c r="A553">
        <v>16058</v>
      </c>
      <c r="B553" t="s">
        <v>1585</v>
      </c>
      <c r="C553" t="s">
        <v>584</v>
      </c>
      <c r="E553" t="s">
        <v>1487</v>
      </c>
      <c r="F553">
        <v>83</v>
      </c>
      <c r="G553">
        <v>1975</v>
      </c>
      <c r="H553">
        <v>206</v>
      </c>
      <c r="I553">
        <v>15.500999999999999</v>
      </c>
      <c r="J553">
        <v>1034.2049999999999</v>
      </c>
      <c r="K553">
        <v>424</v>
      </c>
    </row>
    <row r="554" spans="1:11">
      <c r="A554">
        <v>24310</v>
      </c>
      <c r="B554" t="s">
        <v>928</v>
      </c>
      <c r="C554" t="s">
        <v>829</v>
      </c>
      <c r="E554" t="s">
        <v>570</v>
      </c>
      <c r="F554">
        <v>16</v>
      </c>
      <c r="G554">
        <v>1990</v>
      </c>
      <c r="H554">
        <v>84</v>
      </c>
      <c r="I554">
        <v>24.125</v>
      </c>
      <c r="J554">
        <v>2012.88</v>
      </c>
      <c r="K554">
        <v>893</v>
      </c>
    </row>
    <row r="555" spans="1:11">
      <c r="A555">
        <v>17018</v>
      </c>
      <c r="B555" t="s">
        <v>1586</v>
      </c>
      <c r="C555" t="s">
        <v>541</v>
      </c>
      <c r="E555" t="s">
        <v>161</v>
      </c>
      <c r="F555">
        <v>30</v>
      </c>
      <c r="G555">
        <v>1978</v>
      </c>
      <c r="H555">
        <v>620</v>
      </c>
      <c r="I555">
        <v>1.375</v>
      </c>
      <c r="J555">
        <v>50.911000000000001</v>
      </c>
      <c r="K555">
        <v>0</v>
      </c>
    </row>
    <row r="556" spans="1:11">
      <c r="A556">
        <v>16081</v>
      </c>
      <c r="B556" t="s">
        <v>1587</v>
      </c>
      <c r="C556" t="s">
        <v>625</v>
      </c>
      <c r="D556" t="s">
        <v>107</v>
      </c>
      <c r="E556" t="s">
        <v>1419</v>
      </c>
      <c r="F556">
        <v>84</v>
      </c>
      <c r="G556">
        <v>1940</v>
      </c>
      <c r="H556">
        <v>689</v>
      </c>
      <c r="I556">
        <v>0.28100000000000003</v>
      </c>
      <c r="J556">
        <v>12.699</v>
      </c>
      <c r="K556">
        <v>0</v>
      </c>
    </row>
    <row r="557" spans="1:11">
      <c r="A557">
        <v>16011</v>
      </c>
      <c r="B557" t="s">
        <v>929</v>
      </c>
      <c r="C557" t="s">
        <v>590</v>
      </c>
      <c r="E557" t="s">
        <v>495</v>
      </c>
      <c r="F557">
        <v>64</v>
      </c>
      <c r="G557">
        <v>1978</v>
      </c>
      <c r="H557">
        <v>217</v>
      </c>
      <c r="I557">
        <v>19.282</v>
      </c>
      <c r="J557">
        <v>966.64</v>
      </c>
      <c r="K557">
        <v>177</v>
      </c>
    </row>
    <row r="558" spans="1:11">
      <c r="A558">
        <v>10026</v>
      </c>
      <c r="B558" t="s">
        <v>929</v>
      </c>
      <c r="C558" t="s">
        <v>552</v>
      </c>
      <c r="E558" t="s">
        <v>582</v>
      </c>
      <c r="F558">
        <v>67</v>
      </c>
      <c r="G558">
        <v>1962</v>
      </c>
      <c r="H558">
        <v>545</v>
      </c>
      <c r="I558">
        <v>1.1879999999999999</v>
      </c>
      <c r="J558">
        <v>106.386</v>
      </c>
      <c r="K558">
        <v>53</v>
      </c>
    </row>
    <row r="559" spans="1:11">
      <c r="A559">
        <v>17063</v>
      </c>
      <c r="B559" t="s">
        <v>929</v>
      </c>
      <c r="C559" t="s">
        <v>1588</v>
      </c>
      <c r="D559" t="s">
        <v>91</v>
      </c>
      <c r="E559" t="s">
        <v>1388</v>
      </c>
      <c r="F559">
        <v>82</v>
      </c>
      <c r="G559">
        <v>2004</v>
      </c>
      <c r="H559">
        <v>815</v>
      </c>
      <c r="I559">
        <v>0</v>
      </c>
      <c r="J559">
        <v>0</v>
      </c>
      <c r="K559">
        <v>0</v>
      </c>
    </row>
    <row r="560" spans="1:11">
      <c r="A560">
        <v>15093</v>
      </c>
      <c r="B560" t="s">
        <v>929</v>
      </c>
      <c r="C560" t="s">
        <v>595</v>
      </c>
      <c r="E560" t="s">
        <v>1210</v>
      </c>
      <c r="F560">
        <v>42</v>
      </c>
      <c r="G560">
        <v>1969</v>
      </c>
      <c r="H560">
        <v>193</v>
      </c>
      <c r="I560">
        <v>22.814</v>
      </c>
      <c r="J560">
        <v>1115.451</v>
      </c>
      <c r="K560">
        <v>230</v>
      </c>
    </row>
    <row r="561" spans="1:11">
      <c r="A561">
        <v>17024</v>
      </c>
      <c r="B561" t="s">
        <v>930</v>
      </c>
      <c r="C561" t="s">
        <v>1589</v>
      </c>
      <c r="E561" t="s">
        <v>1388</v>
      </c>
      <c r="F561">
        <v>82</v>
      </c>
      <c r="G561">
        <v>1967</v>
      </c>
      <c r="H561">
        <v>600</v>
      </c>
      <c r="I561">
        <v>1.4379999999999999</v>
      </c>
      <c r="J561">
        <v>69.483000000000004</v>
      </c>
      <c r="K561">
        <v>0</v>
      </c>
    </row>
    <row r="562" spans="1:11">
      <c r="A562">
        <v>16063</v>
      </c>
      <c r="B562" t="s">
        <v>930</v>
      </c>
      <c r="C562" t="s">
        <v>564</v>
      </c>
      <c r="E562" t="s">
        <v>1487</v>
      </c>
      <c r="F562">
        <v>83</v>
      </c>
      <c r="G562">
        <v>1969</v>
      </c>
      <c r="H562">
        <v>647</v>
      </c>
      <c r="I562">
        <v>0.875</v>
      </c>
      <c r="J562">
        <v>36.466999999999999</v>
      </c>
      <c r="K562">
        <v>0</v>
      </c>
    </row>
    <row r="563" spans="1:11">
      <c r="A563">
        <v>21829</v>
      </c>
      <c r="B563" t="s">
        <v>931</v>
      </c>
      <c r="C563" t="s">
        <v>579</v>
      </c>
      <c r="D563" t="s">
        <v>107</v>
      </c>
      <c r="E563" t="s">
        <v>1234</v>
      </c>
      <c r="F563">
        <v>36</v>
      </c>
      <c r="G563">
        <v>1954</v>
      </c>
      <c r="H563">
        <v>816</v>
      </c>
      <c r="I563">
        <v>0</v>
      </c>
      <c r="J563">
        <v>0</v>
      </c>
      <c r="K563">
        <v>0</v>
      </c>
    </row>
    <row r="564" spans="1:11">
      <c r="A564">
        <v>16043</v>
      </c>
      <c r="B564" t="s">
        <v>1590</v>
      </c>
      <c r="C564" t="s">
        <v>771</v>
      </c>
      <c r="D564" t="s">
        <v>107</v>
      </c>
      <c r="E564" t="s">
        <v>1200</v>
      </c>
      <c r="F564">
        <v>70</v>
      </c>
      <c r="G564">
        <v>1939</v>
      </c>
      <c r="H564">
        <v>649</v>
      </c>
      <c r="I564">
        <v>0.76600000000000001</v>
      </c>
      <c r="J564">
        <v>33.457000000000001</v>
      </c>
      <c r="K564">
        <v>0</v>
      </c>
    </row>
    <row r="565" spans="1:11">
      <c r="A565">
        <v>11018</v>
      </c>
      <c r="B565" t="s">
        <v>932</v>
      </c>
      <c r="C565" t="s">
        <v>564</v>
      </c>
      <c r="E565" t="s">
        <v>623</v>
      </c>
      <c r="F565">
        <v>45</v>
      </c>
      <c r="G565">
        <v>1947</v>
      </c>
      <c r="H565">
        <v>191</v>
      </c>
      <c r="I565">
        <v>18.204000000000001</v>
      </c>
      <c r="J565">
        <v>1129.653</v>
      </c>
      <c r="K565">
        <v>400</v>
      </c>
    </row>
    <row r="566" spans="1:11">
      <c r="A566">
        <v>15061</v>
      </c>
      <c r="B566" t="s">
        <v>932</v>
      </c>
      <c r="C566" t="s">
        <v>572</v>
      </c>
      <c r="E566" t="s">
        <v>484</v>
      </c>
      <c r="F566">
        <v>7</v>
      </c>
      <c r="G566">
        <v>1972</v>
      </c>
      <c r="H566">
        <v>817</v>
      </c>
      <c r="I566">
        <v>0</v>
      </c>
      <c r="J566">
        <v>0</v>
      </c>
      <c r="K566">
        <v>0</v>
      </c>
    </row>
    <row r="567" spans="1:11">
      <c r="A567">
        <v>27014</v>
      </c>
      <c r="B567" t="s">
        <v>932</v>
      </c>
      <c r="C567" t="s">
        <v>595</v>
      </c>
      <c r="E567" t="s">
        <v>1197</v>
      </c>
      <c r="F567">
        <v>2</v>
      </c>
      <c r="G567">
        <v>1953</v>
      </c>
      <c r="H567">
        <v>592</v>
      </c>
      <c r="I567">
        <v>0.75</v>
      </c>
      <c r="J567">
        <v>72.453999999999994</v>
      </c>
      <c r="K567">
        <v>38</v>
      </c>
    </row>
    <row r="568" spans="1:11">
      <c r="A568">
        <v>16123</v>
      </c>
      <c r="B568" t="s">
        <v>1591</v>
      </c>
      <c r="C568" t="s">
        <v>572</v>
      </c>
      <c r="E568" t="s">
        <v>576</v>
      </c>
      <c r="F568">
        <v>73</v>
      </c>
      <c r="G568">
        <v>1963</v>
      </c>
      <c r="H568">
        <v>384</v>
      </c>
      <c r="I568">
        <v>5.5549999999999997</v>
      </c>
      <c r="J568">
        <v>337.57600000000002</v>
      </c>
      <c r="K568">
        <v>90</v>
      </c>
    </row>
    <row r="569" spans="1:11">
      <c r="A569">
        <v>16125</v>
      </c>
      <c r="B569" t="s">
        <v>933</v>
      </c>
      <c r="C569" t="s">
        <v>979</v>
      </c>
      <c r="E569" t="s">
        <v>501</v>
      </c>
      <c r="F569">
        <v>1</v>
      </c>
      <c r="G569">
        <v>1996</v>
      </c>
      <c r="H569">
        <v>393</v>
      </c>
      <c r="I569">
        <v>5.5</v>
      </c>
      <c r="J569">
        <v>320.06</v>
      </c>
      <c r="K569">
        <v>81</v>
      </c>
    </row>
    <row r="570" spans="1:11">
      <c r="A570">
        <v>23115</v>
      </c>
      <c r="B570" t="s">
        <v>934</v>
      </c>
      <c r="C570" t="s">
        <v>578</v>
      </c>
      <c r="D570" t="s">
        <v>107</v>
      </c>
      <c r="E570" t="s">
        <v>491</v>
      </c>
      <c r="F570">
        <v>21</v>
      </c>
      <c r="G570">
        <v>1994</v>
      </c>
      <c r="H570">
        <v>469</v>
      </c>
      <c r="I570">
        <v>2</v>
      </c>
      <c r="J570">
        <v>195.148</v>
      </c>
      <c r="K570">
        <v>100</v>
      </c>
    </row>
    <row r="571" spans="1:11">
      <c r="A571">
        <v>23117</v>
      </c>
      <c r="B571" t="s">
        <v>934</v>
      </c>
      <c r="C571" t="s">
        <v>846</v>
      </c>
      <c r="D571" t="s">
        <v>107</v>
      </c>
      <c r="E571" t="s">
        <v>491</v>
      </c>
      <c r="F571">
        <v>21</v>
      </c>
      <c r="G571">
        <v>1969</v>
      </c>
      <c r="H571">
        <v>273</v>
      </c>
      <c r="I571">
        <v>11.938000000000001</v>
      </c>
      <c r="J571">
        <v>673.25699999999995</v>
      </c>
      <c r="K571">
        <v>253</v>
      </c>
    </row>
    <row r="572" spans="1:11">
      <c r="A572">
        <v>10058</v>
      </c>
      <c r="B572" t="s">
        <v>936</v>
      </c>
      <c r="C572" t="s">
        <v>937</v>
      </c>
      <c r="E572" t="s">
        <v>161</v>
      </c>
      <c r="F572">
        <v>30</v>
      </c>
      <c r="G572">
        <v>1977</v>
      </c>
      <c r="H572">
        <v>168</v>
      </c>
      <c r="I572">
        <v>27.094000000000001</v>
      </c>
      <c r="J572">
        <v>1298.2840000000001</v>
      </c>
      <c r="K572">
        <v>318</v>
      </c>
    </row>
    <row r="573" spans="1:11">
      <c r="A573">
        <v>13066</v>
      </c>
      <c r="B573" t="s">
        <v>1241</v>
      </c>
      <c r="C573" t="s">
        <v>535</v>
      </c>
      <c r="E573" t="s">
        <v>1167</v>
      </c>
      <c r="F573">
        <v>56</v>
      </c>
      <c r="G573">
        <v>1967</v>
      </c>
      <c r="H573">
        <v>341</v>
      </c>
      <c r="I573">
        <v>10.500999999999999</v>
      </c>
      <c r="J573">
        <v>431.24299999999999</v>
      </c>
      <c r="K573">
        <v>61</v>
      </c>
    </row>
    <row r="574" spans="1:11">
      <c r="A574">
        <v>12029</v>
      </c>
      <c r="B574" t="s">
        <v>938</v>
      </c>
      <c r="C574" t="s">
        <v>581</v>
      </c>
      <c r="E574" t="s">
        <v>576</v>
      </c>
      <c r="F574">
        <v>73</v>
      </c>
      <c r="G574">
        <v>1957</v>
      </c>
      <c r="H574">
        <v>818</v>
      </c>
      <c r="I574">
        <v>0</v>
      </c>
      <c r="J574">
        <v>0</v>
      </c>
      <c r="K574">
        <v>0</v>
      </c>
    </row>
    <row r="575" spans="1:11">
      <c r="A575">
        <v>23021</v>
      </c>
      <c r="B575" t="s">
        <v>938</v>
      </c>
      <c r="C575" t="s">
        <v>564</v>
      </c>
      <c r="E575" t="s">
        <v>163</v>
      </c>
      <c r="F575">
        <v>43</v>
      </c>
      <c r="G575">
        <v>1958</v>
      </c>
      <c r="H575">
        <v>238</v>
      </c>
      <c r="I575">
        <v>11.625</v>
      </c>
      <c r="J575">
        <v>841.51499999999999</v>
      </c>
      <c r="K575">
        <v>316</v>
      </c>
    </row>
    <row r="576" spans="1:11">
      <c r="A576">
        <v>96022</v>
      </c>
      <c r="B576" t="s">
        <v>939</v>
      </c>
      <c r="C576" t="s">
        <v>940</v>
      </c>
      <c r="E576" t="s">
        <v>743</v>
      </c>
      <c r="F576">
        <v>10</v>
      </c>
      <c r="G576">
        <v>1950</v>
      </c>
      <c r="H576">
        <v>459</v>
      </c>
      <c r="I576">
        <v>6.9379999999999997</v>
      </c>
      <c r="J576">
        <v>202.13300000000001</v>
      </c>
      <c r="K576">
        <v>0</v>
      </c>
    </row>
    <row r="577" spans="1:11">
      <c r="A577">
        <v>96021</v>
      </c>
      <c r="B577" t="s">
        <v>941</v>
      </c>
      <c r="C577" t="s">
        <v>942</v>
      </c>
      <c r="D577" t="s">
        <v>107</v>
      </c>
      <c r="E577" t="s">
        <v>743</v>
      </c>
      <c r="F577">
        <v>10</v>
      </c>
      <c r="G577">
        <v>1954</v>
      </c>
      <c r="H577">
        <v>537</v>
      </c>
      <c r="I577">
        <v>3.2509999999999999</v>
      </c>
      <c r="J577">
        <v>114.087</v>
      </c>
      <c r="K577">
        <v>0</v>
      </c>
    </row>
    <row r="578" spans="1:11">
      <c r="A578">
        <v>12010</v>
      </c>
      <c r="B578" t="s">
        <v>943</v>
      </c>
      <c r="C578" t="s">
        <v>535</v>
      </c>
      <c r="E578" t="s">
        <v>172</v>
      </c>
      <c r="F578">
        <v>48</v>
      </c>
      <c r="G578">
        <v>1946</v>
      </c>
      <c r="H578">
        <v>134</v>
      </c>
      <c r="I578">
        <v>26.437999999999999</v>
      </c>
      <c r="J578">
        <v>1619.528</v>
      </c>
      <c r="K578">
        <v>828</v>
      </c>
    </row>
    <row r="579" spans="1:11">
      <c r="A579">
        <v>17064</v>
      </c>
      <c r="B579" t="s">
        <v>1592</v>
      </c>
      <c r="C579" t="s">
        <v>534</v>
      </c>
      <c r="D579" t="s">
        <v>91</v>
      </c>
      <c r="E579" t="s">
        <v>1388</v>
      </c>
      <c r="F579">
        <v>82</v>
      </c>
      <c r="G579">
        <v>2001</v>
      </c>
      <c r="H579">
        <v>819</v>
      </c>
      <c r="I579">
        <v>0</v>
      </c>
      <c r="J579">
        <v>0</v>
      </c>
      <c r="K579">
        <v>0</v>
      </c>
    </row>
    <row r="580" spans="1:11">
      <c r="A580">
        <v>25073</v>
      </c>
      <c r="B580" t="s">
        <v>944</v>
      </c>
      <c r="C580" t="s">
        <v>604</v>
      </c>
      <c r="E580" t="s">
        <v>200</v>
      </c>
      <c r="F580">
        <v>19</v>
      </c>
      <c r="G580">
        <v>1980</v>
      </c>
      <c r="H580">
        <v>690</v>
      </c>
      <c r="I580">
        <v>0.375</v>
      </c>
      <c r="J580">
        <v>12.347</v>
      </c>
      <c r="K580">
        <v>0</v>
      </c>
    </row>
    <row r="581" spans="1:11">
      <c r="A581">
        <v>15065</v>
      </c>
      <c r="B581" t="s">
        <v>1593</v>
      </c>
      <c r="C581" t="s">
        <v>535</v>
      </c>
      <c r="E581" t="s">
        <v>497</v>
      </c>
      <c r="F581">
        <v>51</v>
      </c>
      <c r="G581">
        <v>1963</v>
      </c>
      <c r="H581">
        <v>146</v>
      </c>
      <c r="I581">
        <v>22.657</v>
      </c>
      <c r="J581">
        <v>1499.1420000000001</v>
      </c>
      <c r="K581">
        <v>604</v>
      </c>
    </row>
    <row r="582" spans="1:11">
      <c r="A582">
        <v>14024</v>
      </c>
      <c r="B582" t="s">
        <v>1594</v>
      </c>
      <c r="C582" t="s">
        <v>663</v>
      </c>
      <c r="D582" t="s">
        <v>107</v>
      </c>
      <c r="E582" t="s">
        <v>1559</v>
      </c>
      <c r="F582">
        <v>80</v>
      </c>
      <c r="G582">
        <v>1973</v>
      </c>
      <c r="H582">
        <v>35</v>
      </c>
      <c r="I582">
        <v>31.782</v>
      </c>
      <c r="J582">
        <v>2847.9920000000002</v>
      </c>
      <c r="K582">
        <v>1330</v>
      </c>
    </row>
    <row r="583" spans="1:11">
      <c r="A583">
        <v>16082</v>
      </c>
      <c r="B583" t="s">
        <v>1595</v>
      </c>
      <c r="C583" t="s">
        <v>584</v>
      </c>
      <c r="E583" t="s">
        <v>1419</v>
      </c>
      <c r="F583">
        <v>84</v>
      </c>
      <c r="G583">
        <v>1946</v>
      </c>
      <c r="H583">
        <v>292</v>
      </c>
      <c r="I583">
        <v>11.532</v>
      </c>
      <c r="J583">
        <v>611.66700000000003</v>
      </c>
      <c r="K583">
        <v>113</v>
      </c>
    </row>
    <row r="584" spans="1:11">
      <c r="A584">
        <v>16083</v>
      </c>
      <c r="B584" t="s">
        <v>1596</v>
      </c>
      <c r="C584" t="s">
        <v>555</v>
      </c>
      <c r="D584" t="s">
        <v>107</v>
      </c>
      <c r="E584" t="s">
        <v>1419</v>
      </c>
      <c r="F584">
        <v>84</v>
      </c>
      <c r="G584">
        <v>1946</v>
      </c>
      <c r="H584">
        <v>528</v>
      </c>
      <c r="I584">
        <v>2.875</v>
      </c>
      <c r="J584">
        <v>121.64</v>
      </c>
      <c r="K584">
        <v>18</v>
      </c>
    </row>
    <row r="585" spans="1:11">
      <c r="A585">
        <v>16044</v>
      </c>
      <c r="B585" t="s">
        <v>1597</v>
      </c>
      <c r="C585" t="s">
        <v>636</v>
      </c>
      <c r="D585" t="s">
        <v>107</v>
      </c>
      <c r="E585" t="s">
        <v>1200</v>
      </c>
      <c r="F585">
        <v>70</v>
      </c>
      <c r="G585">
        <v>1947</v>
      </c>
      <c r="H585">
        <v>650</v>
      </c>
      <c r="I585">
        <v>0.76600000000000001</v>
      </c>
      <c r="J585">
        <v>33.457000000000001</v>
      </c>
      <c r="K585">
        <v>0</v>
      </c>
    </row>
    <row r="586" spans="1:11">
      <c r="A586">
        <v>12059</v>
      </c>
      <c r="B586" t="s">
        <v>945</v>
      </c>
      <c r="C586" t="s">
        <v>946</v>
      </c>
      <c r="D586" t="s">
        <v>107</v>
      </c>
      <c r="E586" t="s">
        <v>495</v>
      </c>
      <c r="F586">
        <v>64</v>
      </c>
      <c r="G586">
        <v>1978</v>
      </c>
      <c r="H586">
        <v>820</v>
      </c>
      <c r="I586">
        <v>0</v>
      </c>
      <c r="J586">
        <v>0</v>
      </c>
      <c r="K586">
        <v>0</v>
      </c>
    </row>
    <row r="587" spans="1:11">
      <c r="A587">
        <v>29052</v>
      </c>
      <c r="B587" t="s">
        <v>945</v>
      </c>
      <c r="C587" t="s">
        <v>589</v>
      </c>
      <c r="E587" t="s">
        <v>495</v>
      </c>
      <c r="F587">
        <v>64</v>
      </c>
      <c r="G587">
        <v>1973</v>
      </c>
      <c r="H587">
        <v>324</v>
      </c>
      <c r="I587">
        <v>12.593999999999999</v>
      </c>
      <c r="J587">
        <v>493.53899999999999</v>
      </c>
      <c r="K587">
        <v>0</v>
      </c>
    </row>
    <row r="588" spans="1:11">
      <c r="A588">
        <v>15064</v>
      </c>
      <c r="B588" t="s">
        <v>1598</v>
      </c>
      <c r="C588" t="s">
        <v>531</v>
      </c>
      <c r="D588" t="s">
        <v>91</v>
      </c>
      <c r="E588" t="s">
        <v>495</v>
      </c>
      <c r="F588">
        <v>64</v>
      </c>
      <c r="G588">
        <v>2001</v>
      </c>
      <c r="H588">
        <v>281</v>
      </c>
      <c r="I588">
        <v>10.657</v>
      </c>
      <c r="J588">
        <v>656.82899999999995</v>
      </c>
      <c r="K588">
        <v>190</v>
      </c>
    </row>
    <row r="589" spans="1:11">
      <c r="A589">
        <v>15020</v>
      </c>
      <c r="B589" t="s">
        <v>1599</v>
      </c>
      <c r="C589" t="s">
        <v>1600</v>
      </c>
      <c r="D589" t="s">
        <v>107</v>
      </c>
      <c r="E589" t="s">
        <v>1393</v>
      </c>
      <c r="F589">
        <v>81</v>
      </c>
      <c r="G589">
        <v>1984</v>
      </c>
      <c r="H589">
        <v>185</v>
      </c>
      <c r="I589">
        <v>19.032</v>
      </c>
      <c r="J589">
        <v>1158.894</v>
      </c>
      <c r="K589">
        <v>448</v>
      </c>
    </row>
    <row r="590" spans="1:11">
      <c r="A590">
        <v>29044</v>
      </c>
      <c r="B590" t="s">
        <v>947</v>
      </c>
      <c r="C590" t="s">
        <v>572</v>
      </c>
      <c r="E590" t="s">
        <v>475</v>
      </c>
      <c r="F590">
        <v>63</v>
      </c>
      <c r="G590">
        <v>1973</v>
      </c>
      <c r="H590">
        <v>485</v>
      </c>
      <c r="I590">
        <v>5.0629999999999997</v>
      </c>
      <c r="J590">
        <v>175.423</v>
      </c>
      <c r="K590">
        <v>0</v>
      </c>
    </row>
    <row r="591" spans="1:11">
      <c r="A591">
        <v>15049</v>
      </c>
      <c r="B591" t="s">
        <v>1601</v>
      </c>
      <c r="C591" t="s">
        <v>813</v>
      </c>
      <c r="E591" t="s">
        <v>216</v>
      </c>
      <c r="F591">
        <v>33</v>
      </c>
      <c r="G591">
        <v>1953</v>
      </c>
      <c r="H591">
        <v>497</v>
      </c>
      <c r="I591">
        <v>4.9379999999999997</v>
      </c>
      <c r="J591">
        <v>159.94499999999999</v>
      </c>
      <c r="K591">
        <v>0</v>
      </c>
    </row>
    <row r="592" spans="1:11">
      <c r="A592">
        <v>12036</v>
      </c>
      <c r="B592" t="s">
        <v>948</v>
      </c>
      <c r="C592" t="s">
        <v>551</v>
      </c>
      <c r="E592" t="s">
        <v>576</v>
      </c>
      <c r="F592">
        <v>73</v>
      </c>
      <c r="G592">
        <v>1939</v>
      </c>
      <c r="H592">
        <v>348</v>
      </c>
      <c r="I592">
        <v>7.4470000000000001</v>
      </c>
      <c r="J592">
        <v>405.11599999999999</v>
      </c>
      <c r="K592">
        <v>114</v>
      </c>
    </row>
    <row r="593" spans="1:11">
      <c r="A593">
        <v>98432</v>
      </c>
      <c r="B593" t="s">
        <v>949</v>
      </c>
      <c r="C593" t="s">
        <v>535</v>
      </c>
      <c r="E593" t="s">
        <v>1210</v>
      </c>
      <c r="F593">
        <v>42</v>
      </c>
      <c r="G593">
        <v>1946</v>
      </c>
      <c r="H593">
        <v>364</v>
      </c>
      <c r="I593">
        <v>9.0470000000000006</v>
      </c>
      <c r="J593">
        <v>369.09</v>
      </c>
      <c r="K593">
        <v>55</v>
      </c>
    </row>
    <row r="594" spans="1:11">
      <c r="A594">
        <v>25067</v>
      </c>
      <c r="B594" t="s">
        <v>951</v>
      </c>
      <c r="C594" t="s">
        <v>537</v>
      </c>
      <c r="D594" t="s">
        <v>107</v>
      </c>
      <c r="E594" t="s">
        <v>1167</v>
      </c>
      <c r="F594">
        <v>56</v>
      </c>
      <c r="G594">
        <v>1963</v>
      </c>
      <c r="H594">
        <v>821</v>
      </c>
      <c r="I594">
        <v>0</v>
      </c>
      <c r="J594">
        <v>0</v>
      </c>
      <c r="K594">
        <v>0</v>
      </c>
    </row>
    <row r="595" spans="1:11">
      <c r="A595">
        <v>15074</v>
      </c>
      <c r="B595" t="s">
        <v>1602</v>
      </c>
      <c r="C595" t="s">
        <v>543</v>
      </c>
      <c r="E595" t="s">
        <v>487</v>
      </c>
      <c r="F595">
        <v>69</v>
      </c>
      <c r="G595">
        <v>1975</v>
      </c>
      <c r="H595">
        <v>822</v>
      </c>
      <c r="I595">
        <v>0</v>
      </c>
      <c r="J595">
        <v>0</v>
      </c>
      <c r="K595">
        <v>0</v>
      </c>
    </row>
    <row r="596" spans="1:11">
      <c r="A596">
        <v>15079</v>
      </c>
      <c r="B596" t="s">
        <v>1603</v>
      </c>
      <c r="C596" t="s">
        <v>558</v>
      </c>
      <c r="E596" t="s">
        <v>489</v>
      </c>
      <c r="F596">
        <v>13</v>
      </c>
      <c r="G596">
        <v>1982</v>
      </c>
      <c r="H596">
        <v>323</v>
      </c>
      <c r="I596">
        <v>10.000999999999999</v>
      </c>
      <c r="J596">
        <v>497.54599999999999</v>
      </c>
      <c r="K596">
        <v>149</v>
      </c>
    </row>
    <row r="597" spans="1:11">
      <c r="A597">
        <v>10060</v>
      </c>
      <c r="B597" t="s">
        <v>952</v>
      </c>
      <c r="C597" t="s">
        <v>610</v>
      </c>
      <c r="D597" t="s">
        <v>107</v>
      </c>
      <c r="E597" t="s">
        <v>643</v>
      </c>
      <c r="F597">
        <v>62</v>
      </c>
      <c r="G597">
        <v>1979</v>
      </c>
      <c r="H597">
        <v>823</v>
      </c>
      <c r="I597">
        <v>0</v>
      </c>
      <c r="J597">
        <v>0</v>
      </c>
      <c r="K597">
        <v>0</v>
      </c>
    </row>
    <row r="598" spans="1:11">
      <c r="A598">
        <v>96056</v>
      </c>
      <c r="B598" t="s">
        <v>953</v>
      </c>
      <c r="C598" t="s">
        <v>741</v>
      </c>
      <c r="E598" t="s">
        <v>489</v>
      </c>
      <c r="F598">
        <v>13</v>
      </c>
      <c r="G598">
        <v>1952</v>
      </c>
      <c r="H598">
        <v>619</v>
      </c>
      <c r="I598">
        <v>2</v>
      </c>
      <c r="J598">
        <v>52.576000000000001</v>
      </c>
      <c r="K598">
        <v>0</v>
      </c>
    </row>
    <row r="599" spans="1:11">
      <c r="A599">
        <v>97240</v>
      </c>
      <c r="B599" t="s">
        <v>954</v>
      </c>
      <c r="C599" t="s">
        <v>584</v>
      </c>
      <c r="E599" t="s">
        <v>1197</v>
      </c>
      <c r="F599">
        <v>2</v>
      </c>
      <c r="G599">
        <v>1950</v>
      </c>
      <c r="H599">
        <v>355</v>
      </c>
      <c r="I599">
        <v>6.5940000000000003</v>
      </c>
      <c r="J599">
        <v>389.94400000000002</v>
      </c>
      <c r="K599">
        <v>95</v>
      </c>
    </row>
    <row r="600" spans="1:11">
      <c r="A600">
        <v>98480</v>
      </c>
      <c r="B600" t="s">
        <v>955</v>
      </c>
      <c r="C600" t="s">
        <v>539</v>
      </c>
      <c r="D600" t="s">
        <v>107</v>
      </c>
      <c r="E600" t="s">
        <v>470</v>
      </c>
      <c r="F600">
        <v>20</v>
      </c>
      <c r="G600">
        <v>1958</v>
      </c>
      <c r="H600">
        <v>666</v>
      </c>
      <c r="I600">
        <v>0.625</v>
      </c>
      <c r="J600">
        <v>24.585999999999999</v>
      </c>
      <c r="K600">
        <v>0</v>
      </c>
    </row>
    <row r="601" spans="1:11">
      <c r="A601">
        <v>98418</v>
      </c>
      <c r="B601" t="s">
        <v>956</v>
      </c>
      <c r="C601" t="s">
        <v>552</v>
      </c>
      <c r="E601" t="s">
        <v>495</v>
      </c>
      <c r="F601">
        <v>64</v>
      </c>
      <c r="G601">
        <v>1952</v>
      </c>
      <c r="H601">
        <v>458</v>
      </c>
      <c r="I601">
        <v>1.3129999999999999</v>
      </c>
      <c r="J601">
        <v>202.154</v>
      </c>
      <c r="K601">
        <v>137</v>
      </c>
    </row>
    <row r="602" spans="1:11">
      <c r="A602">
        <v>10027</v>
      </c>
      <c r="B602" t="s">
        <v>957</v>
      </c>
      <c r="C602" t="s">
        <v>552</v>
      </c>
      <c r="E602" t="s">
        <v>582</v>
      </c>
      <c r="F602">
        <v>67</v>
      </c>
      <c r="G602">
        <v>1954</v>
      </c>
      <c r="H602">
        <v>546</v>
      </c>
      <c r="I602">
        <v>1.1879999999999999</v>
      </c>
      <c r="J602">
        <v>106.386</v>
      </c>
      <c r="K602">
        <v>53</v>
      </c>
    </row>
    <row r="603" spans="1:11">
      <c r="A603">
        <v>10028</v>
      </c>
      <c r="B603" t="s">
        <v>958</v>
      </c>
      <c r="C603" t="s">
        <v>638</v>
      </c>
      <c r="D603" t="s">
        <v>107</v>
      </c>
      <c r="E603" t="s">
        <v>582</v>
      </c>
      <c r="F603">
        <v>67</v>
      </c>
      <c r="G603">
        <v>1951</v>
      </c>
      <c r="H603">
        <v>824</v>
      </c>
      <c r="I603">
        <v>0</v>
      </c>
      <c r="J603">
        <v>0</v>
      </c>
      <c r="K603">
        <v>0</v>
      </c>
    </row>
    <row r="604" spans="1:11">
      <c r="A604">
        <v>10056</v>
      </c>
      <c r="B604" t="s">
        <v>959</v>
      </c>
      <c r="C604" t="s">
        <v>629</v>
      </c>
      <c r="D604" t="s">
        <v>107</v>
      </c>
      <c r="E604" t="s">
        <v>1210</v>
      </c>
      <c r="F604">
        <v>42</v>
      </c>
      <c r="G604">
        <v>1997</v>
      </c>
      <c r="H604">
        <v>634</v>
      </c>
      <c r="I604">
        <v>1</v>
      </c>
      <c r="J604">
        <v>43.698999999999998</v>
      </c>
      <c r="K604">
        <v>0</v>
      </c>
    </row>
    <row r="605" spans="1:11">
      <c r="A605">
        <v>15043</v>
      </c>
      <c r="B605" t="s">
        <v>1604</v>
      </c>
      <c r="C605" t="s">
        <v>942</v>
      </c>
      <c r="D605" t="s">
        <v>107</v>
      </c>
      <c r="E605" t="s">
        <v>497</v>
      </c>
      <c r="F605">
        <v>51</v>
      </c>
      <c r="G605">
        <v>1948</v>
      </c>
      <c r="H605">
        <v>164</v>
      </c>
      <c r="I605">
        <v>16.503</v>
      </c>
      <c r="J605">
        <v>1311.7929999999999</v>
      </c>
      <c r="K605">
        <v>660</v>
      </c>
    </row>
    <row r="606" spans="1:11">
      <c r="A606">
        <v>21836</v>
      </c>
      <c r="B606" t="s">
        <v>960</v>
      </c>
      <c r="C606" t="s">
        <v>553</v>
      </c>
      <c r="E606" t="s">
        <v>472</v>
      </c>
      <c r="F606">
        <v>54</v>
      </c>
      <c r="G606">
        <v>1963</v>
      </c>
      <c r="H606">
        <v>91</v>
      </c>
      <c r="I606">
        <v>23.626000000000001</v>
      </c>
      <c r="J606">
        <v>1968.078</v>
      </c>
      <c r="K606">
        <v>1016</v>
      </c>
    </row>
    <row r="607" spans="1:11">
      <c r="A607">
        <v>28001</v>
      </c>
      <c r="B607" t="s">
        <v>961</v>
      </c>
      <c r="C607" t="s">
        <v>654</v>
      </c>
      <c r="D607" t="s">
        <v>107</v>
      </c>
      <c r="E607" t="s">
        <v>472</v>
      </c>
      <c r="F607">
        <v>54</v>
      </c>
      <c r="G607">
        <v>1965</v>
      </c>
      <c r="H607">
        <v>101</v>
      </c>
      <c r="I607">
        <v>23.158000000000001</v>
      </c>
      <c r="J607">
        <v>1872.8140000000001</v>
      </c>
      <c r="K607">
        <v>975</v>
      </c>
    </row>
    <row r="608" spans="1:11">
      <c r="A608">
        <v>12042</v>
      </c>
      <c r="B608" t="s">
        <v>962</v>
      </c>
      <c r="C608" t="s">
        <v>572</v>
      </c>
      <c r="E608" t="s">
        <v>576</v>
      </c>
      <c r="F608">
        <v>73</v>
      </c>
      <c r="G608">
        <v>1945</v>
      </c>
      <c r="H608">
        <v>124</v>
      </c>
      <c r="I608">
        <v>26.907</v>
      </c>
      <c r="J608">
        <v>1702.9469999999999</v>
      </c>
      <c r="K608">
        <v>814</v>
      </c>
    </row>
    <row r="609" spans="1:11">
      <c r="A609">
        <v>12032</v>
      </c>
      <c r="B609" t="s">
        <v>963</v>
      </c>
      <c r="C609" t="s">
        <v>625</v>
      </c>
      <c r="D609" t="s">
        <v>107</v>
      </c>
      <c r="E609" t="s">
        <v>1202</v>
      </c>
      <c r="F609">
        <v>76</v>
      </c>
      <c r="G609">
        <v>1947</v>
      </c>
      <c r="H609">
        <v>299</v>
      </c>
      <c r="I609">
        <v>12.141999999999999</v>
      </c>
      <c r="J609">
        <v>584.54200000000003</v>
      </c>
      <c r="K609">
        <v>152</v>
      </c>
    </row>
    <row r="610" spans="1:11">
      <c r="A610">
        <v>10029</v>
      </c>
      <c r="B610" t="s">
        <v>964</v>
      </c>
      <c r="C610" t="s">
        <v>589</v>
      </c>
      <c r="E610" t="s">
        <v>582</v>
      </c>
      <c r="F610">
        <v>67</v>
      </c>
      <c r="G610">
        <v>1954</v>
      </c>
      <c r="H610">
        <v>825</v>
      </c>
      <c r="I610">
        <v>0</v>
      </c>
      <c r="J610">
        <v>0</v>
      </c>
      <c r="K610">
        <v>0</v>
      </c>
    </row>
    <row r="611" spans="1:11">
      <c r="A611">
        <v>96229</v>
      </c>
      <c r="B611" t="s">
        <v>965</v>
      </c>
      <c r="C611" t="s">
        <v>595</v>
      </c>
      <c r="E611" t="s">
        <v>1209</v>
      </c>
      <c r="F611">
        <v>28</v>
      </c>
      <c r="G611">
        <v>1959</v>
      </c>
      <c r="H611">
        <v>588</v>
      </c>
      <c r="I611">
        <v>2.3759999999999999</v>
      </c>
      <c r="J611">
        <v>73.837000000000003</v>
      </c>
      <c r="K611">
        <v>0</v>
      </c>
    </row>
    <row r="612" spans="1:11">
      <c r="A612">
        <v>17020</v>
      </c>
      <c r="B612" t="s">
        <v>1605</v>
      </c>
      <c r="C612" t="s">
        <v>758</v>
      </c>
      <c r="E612" t="s">
        <v>1205</v>
      </c>
      <c r="F612">
        <v>74</v>
      </c>
      <c r="G612">
        <v>1998</v>
      </c>
      <c r="H612">
        <v>826</v>
      </c>
      <c r="I612">
        <v>0</v>
      </c>
      <c r="J612">
        <v>0</v>
      </c>
      <c r="K612">
        <v>0</v>
      </c>
    </row>
    <row r="613" spans="1:11">
      <c r="A613">
        <v>10066</v>
      </c>
      <c r="B613" t="s">
        <v>966</v>
      </c>
      <c r="C613" t="s">
        <v>967</v>
      </c>
      <c r="E613" t="s">
        <v>1203</v>
      </c>
      <c r="F613">
        <v>55</v>
      </c>
      <c r="G613">
        <v>1992</v>
      </c>
      <c r="H613">
        <v>827</v>
      </c>
      <c r="I613">
        <v>0</v>
      </c>
      <c r="J613">
        <v>0</v>
      </c>
      <c r="K613">
        <v>0</v>
      </c>
    </row>
    <row r="614" spans="1:11">
      <c r="A614">
        <v>21768</v>
      </c>
      <c r="B614" t="s">
        <v>966</v>
      </c>
      <c r="C614" t="s">
        <v>572</v>
      </c>
      <c r="E614" t="s">
        <v>200</v>
      </c>
      <c r="F614">
        <v>19</v>
      </c>
      <c r="G614">
        <v>1963</v>
      </c>
      <c r="H614">
        <v>111</v>
      </c>
      <c r="I614">
        <v>23.187999999999999</v>
      </c>
      <c r="J614">
        <v>1789.8810000000001</v>
      </c>
      <c r="K614">
        <v>852</v>
      </c>
    </row>
    <row r="615" spans="1:11">
      <c r="A615">
        <v>23072</v>
      </c>
      <c r="B615" t="s">
        <v>968</v>
      </c>
      <c r="C615" t="s">
        <v>846</v>
      </c>
      <c r="D615" t="s">
        <v>107</v>
      </c>
      <c r="E615" t="s">
        <v>200</v>
      </c>
      <c r="F615">
        <v>19</v>
      </c>
      <c r="G615">
        <v>1966</v>
      </c>
      <c r="H615">
        <v>155</v>
      </c>
      <c r="I615">
        <v>17.407</v>
      </c>
      <c r="J615">
        <v>1378.3050000000001</v>
      </c>
      <c r="K615">
        <v>627</v>
      </c>
    </row>
    <row r="616" spans="1:11">
      <c r="A616">
        <v>11005</v>
      </c>
      <c r="B616" t="s">
        <v>969</v>
      </c>
      <c r="C616" t="s">
        <v>967</v>
      </c>
      <c r="D616" t="s">
        <v>91</v>
      </c>
      <c r="E616" t="s">
        <v>475</v>
      </c>
      <c r="F616">
        <v>63</v>
      </c>
      <c r="G616">
        <v>2003</v>
      </c>
      <c r="H616">
        <v>318</v>
      </c>
      <c r="I616">
        <v>13.407999999999999</v>
      </c>
      <c r="J616">
        <v>508.16800000000001</v>
      </c>
      <c r="K616">
        <v>48</v>
      </c>
    </row>
    <row r="617" spans="1:11">
      <c r="A617">
        <v>15005</v>
      </c>
      <c r="B617" t="s">
        <v>969</v>
      </c>
      <c r="C617" t="s">
        <v>534</v>
      </c>
      <c r="E617" t="s">
        <v>475</v>
      </c>
      <c r="F617">
        <v>63</v>
      </c>
      <c r="G617">
        <v>1943</v>
      </c>
      <c r="H617">
        <v>303</v>
      </c>
      <c r="I617">
        <v>13.439</v>
      </c>
      <c r="J617">
        <v>567.36099999999999</v>
      </c>
      <c r="K617">
        <v>89</v>
      </c>
    </row>
    <row r="618" spans="1:11">
      <c r="A618">
        <v>29042</v>
      </c>
      <c r="B618" t="s">
        <v>969</v>
      </c>
      <c r="C618" t="s">
        <v>731</v>
      </c>
      <c r="E618" t="s">
        <v>475</v>
      </c>
      <c r="F618">
        <v>63</v>
      </c>
      <c r="G618">
        <v>1964</v>
      </c>
      <c r="H618">
        <v>300</v>
      </c>
      <c r="I618">
        <v>12.500999999999999</v>
      </c>
      <c r="J618">
        <v>577.63300000000004</v>
      </c>
      <c r="K618">
        <v>122</v>
      </c>
    </row>
    <row r="619" spans="1:11">
      <c r="A619">
        <v>10046</v>
      </c>
      <c r="B619" t="s">
        <v>970</v>
      </c>
      <c r="C619" t="s">
        <v>971</v>
      </c>
      <c r="D619" t="s">
        <v>655</v>
      </c>
      <c r="E619" t="s">
        <v>475</v>
      </c>
      <c r="F619">
        <v>63</v>
      </c>
      <c r="G619">
        <v>2001</v>
      </c>
      <c r="H619">
        <v>404</v>
      </c>
      <c r="I619">
        <v>9.032</v>
      </c>
      <c r="J619">
        <v>299.79899999999998</v>
      </c>
      <c r="K619">
        <v>0</v>
      </c>
    </row>
    <row r="620" spans="1:11">
      <c r="A620">
        <v>11003</v>
      </c>
      <c r="B620" t="s">
        <v>970</v>
      </c>
      <c r="C620" t="s">
        <v>866</v>
      </c>
      <c r="D620" t="s">
        <v>107</v>
      </c>
      <c r="E620" t="s">
        <v>475</v>
      </c>
      <c r="F620">
        <v>63</v>
      </c>
      <c r="G620">
        <v>1972</v>
      </c>
      <c r="H620">
        <v>447</v>
      </c>
      <c r="I620">
        <v>6.4379999999999997</v>
      </c>
      <c r="J620">
        <v>214.661</v>
      </c>
      <c r="K620">
        <v>0</v>
      </c>
    </row>
    <row r="621" spans="1:11">
      <c r="A621">
        <v>13009</v>
      </c>
      <c r="B621" t="s">
        <v>972</v>
      </c>
      <c r="C621" t="s">
        <v>950</v>
      </c>
      <c r="E621" t="s">
        <v>1170</v>
      </c>
      <c r="F621">
        <v>75</v>
      </c>
      <c r="G621">
        <v>1953</v>
      </c>
      <c r="H621">
        <v>428</v>
      </c>
      <c r="I621">
        <v>5.4379999999999997</v>
      </c>
      <c r="J621">
        <v>256.29000000000002</v>
      </c>
      <c r="K621">
        <v>61</v>
      </c>
    </row>
    <row r="622" spans="1:11">
      <c r="A622">
        <v>21859</v>
      </c>
      <c r="B622" t="s">
        <v>974</v>
      </c>
      <c r="C622" t="s">
        <v>534</v>
      </c>
      <c r="E622" t="s">
        <v>216</v>
      </c>
      <c r="F622">
        <v>33</v>
      </c>
      <c r="G622">
        <v>1958</v>
      </c>
      <c r="H622">
        <v>556</v>
      </c>
      <c r="I622">
        <v>2.8130000000000002</v>
      </c>
      <c r="J622">
        <v>98.924000000000007</v>
      </c>
      <c r="K622">
        <v>0</v>
      </c>
    </row>
    <row r="623" spans="1:11">
      <c r="A623">
        <v>12060</v>
      </c>
      <c r="B623" t="s">
        <v>975</v>
      </c>
      <c r="C623" t="s">
        <v>684</v>
      </c>
      <c r="D623" t="s">
        <v>107</v>
      </c>
      <c r="E623" t="s">
        <v>495</v>
      </c>
      <c r="F623">
        <v>64</v>
      </c>
      <c r="G623">
        <v>1991</v>
      </c>
      <c r="H623">
        <v>648</v>
      </c>
      <c r="I623">
        <v>0.81299999999999994</v>
      </c>
      <c r="J623">
        <v>33.862000000000002</v>
      </c>
      <c r="K623">
        <v>0</v>
      </c>
    </row>
    <row r="624" spans="1:11">
      <c r="A624">
        <v>21860</v>
      </c>
      <c r="B624" t="s">
        <v>977</v>
      </c>
      <c r="C624" t="s">
        <v>597</v>
      </c>
      <c r="E624" t="s">
        <v>216</v>
      </c>
      <c r="F624">
        <v>33</v>
      </c>
      <c r="G624">
        <v>1955</v>
      </c>
      <c r="H624">
        <v>828</v>
      </c>
      <c r="I624">
        <v>0</v>
      </c>
      <c r="J624">
        <v>0</v>
      </c>
      <c r="K624">
        <v>0</v>
      </c>
    </row>
    <row r="625" spans="1:11">
      <c r="A625">
        <v>10065</v>
      </c>
      <c r="B625" t="s">
        <v>978</v>
      </c>
      <c r="C625" t="s">
        <v>979</v>
      </c>
      <c r="E625" t="s">
        <v>170</v>
      </c>
      <c r="F625">
        <v>14</v>
      </c>
      <c r="G625">
        <v>1992</v>
      </c>
      <c r="H625">
        <v>639</v>
      </c>
      <c r="I625">
        <v>1.25</v>
      </c>
      <c r="J625">
        <v>41.331000000000003</v>
      </c>
      <c r="K625">
        <v>0</v>
      </c>
    </row>
    <row r="626" spans="1:11">
      <c r="A626">
        <v>10064</v>
      </c>
      <c r="B626" t="s">
        <v>978</v>
      </c>
      <c r="C626" t="s">
        <v>980</v>
      </c>
      <c r="E626" t="s">
        <v>170</v>
      </c>
      <c r="F626">
        <v>14</v>
      </c>
      <c r="G626">
        <v>1987</v>
      </c>
      <c r="H626">
        <v>102</v>
      </c>
      <c r="I626">
        <v>25.312999999999999</v>
      </c>
      <c r="J626">
        <v>1860.059</v>
      </c>
      <c r="K626">
        <v>838</v>
      </c>
    </row>
    <row r="627" spans="1:11">
      <c r="A627">
        <v>16084</v>
      </c>
      <c r="B627" t="s">
        <v>1606</v>
      </c>
      <c r="C627" t="s">
        <v>551</v>
      </c>
      <c r="E627" t="s">
        <v>1419</v>
      </c>
      <c r="F627">
        <v>84</v>
      </c>
      <c r="G627">
        <v>1949</v>
      </c>
      <c r="H627">
        <v>652</v>
      </c>
      <c r="I627">
        <v>0.68700000000000006</v>
      </c>
      <c r="J627">
        <v>31.763000000000002</v>
      </c>
      <c r="K627">
        <v>0</v>
      </c>
    </row>
    <row r="628" spans="1:11">
      <c r="A628">
        <v>16121</v>
      </c>
      <c r="B628" t="s">
        <v>1607</v>
      </c>
      <c r="C628" t="s">
        <v>614</v>
      </c>
      <c r="D628" t="s">
        <v>107</v>
      </c>
      <c r="E628" t="s">
        <v>1210</v>
      </c>
      <c r="F628">
        <v>42</v>
      </c>
      <c r="G628">
        <v>1933</v>
      </c>
      <c r="H628">
        <v>473</v>
      </c>
      <c r="I628">
        <v>4.8760000000000003</v>
      </c>
      <c r="J628">
        <v>190.04400000000001</v>
      </c>
      <c r="K628">
        <v>0</v>
      </c>
    </row>
    <row r="629" spans="1:11">
      <c r="A629">
        <v>27069</v>
      </c>
      <c r="B629" t="s">
        <v>981</v>
      </c>
      <c r="C629" t="s">
        <v>558</v>
      </c>
      <c r="E629" t="s">
        <v>1206</v>
      </c>
      <c r="F629">
        <v>24</v>
      </c>
      <c r="G629">
        <v>1986</v>
      </c>
      <c r="H629">
        <v>30</v>
      </c>
      <c r="I629">
        <v>40.063000000000002</v>
      </c>
      <c r="J629">
        <v>2885.5830000000001</v>
      </c>
      <c r="K629">
        <v>1225</v>
      </c>
    </row>
    <row r="630" spans="1:11">
      <c r="A630">
        <v>26074</v>
      </c>
      <c r="B630" t="s">
        <v>981</v>
      </c>
      <c r="C630" t="s">
        <v>708</v>
      </c>
      <c r="E630" t="s">
        <v>1206</v>
      </c>
      <c r="F630">
        <v>24</v>
      </c>
      <c r="G630">
        <v>1984</v>
      </c>
      <c r="H630">
        <v>72</v>
      </c>
      <c r="I630">
        <v>25.001000000000001</v>
      </c>
      <c r="J630">
        <v>2163.2739999999999</v>
      </c>
      <c r="K630">
        <v>1056</v>
      </c>
    </row>
    <row r="631" spans="1:11">
      <c r="A631">
        <v>16085</v>
      </c>
      <c r="B631" t="s">
        <v>1608</v>
      </c>
      <c r="C631" t="s">
        <v>534</v>
      </c>
      <c r="E631" t="s">
        <v>1419</v>
      </c>
      <c r="F631">
        <v>84</v>
      </c>
      <c r="G631">
        <v>1946</v>
      </c>
      <c r="H631">
        <v>337</v>
      </c>
      <c r="I631">
        <v>10.603999999999999</v>
      </c>
      <c r="J631">
        <v>447.291</v>
      </c>
      <c r="K631">
        <v>88</v>
      </c>
    </row>
    <row r="632" spans="1:11">
      <c r="A632">
        <v>29009</v>
      </c>
      <c r="B632" t="s">
        <v>983</v>
      </c>
      <c r="C632" t="s">
        <v>695</v>
      </c>
      <c r="D632" t="s">
        <v>107</v>
      </c>
      <c r="E632" t="s">
        <v>1210</v>
      </c>
      <c r="F632">
        <v>42</v>
      </c>
      <c r="G632">
        <v>1969</v>
      </c>
      <c r="H632">
        <v>103</v>
      </c>
      <c r="I632">
        <v>30.219000000000001</v>
      </c>
      <c r="J632">
        <v>1857.3910000000001</v>
      </c>
      <c r="K632">
        <v>634</v>
      </c>
    </row>
    <row r="633" spans="1:11">
      <c r="A633">
        <v>17047</v>
      </c>
      <c r="B633" t="s">
        <v>1609</v>
      </c>
      <c r="C633" t="s">
        <v>621</v>
      </c>
      <c r="E633" t="s">
        <v>1200</v>
      </c>
      <c r="F633">
        <v>70</v>
      </c>
      <c r="G633">
        <v>1948</v>
      </c>
      <c r="H633">
        <v>829</v>
      </c>
      <c r="I633">
        <v>0</v>
      </c>
      <c r="J633">
        <v>0</v>
      </c>
      <c r="K633">
        <v>0</v>
      </c>
    </row>
    <row r="634" spans="1:11">
      <c r="A634">
        <v>15053</v>
      </c>
      <c r="B634" t="s">
        <v>1610</v>
      </c>
      <c r="C634" t="s">
        <v>707</v>
      </c>
      <c r="D634" t="s">
        <v>107</v>
      </c>
      <c r="E634" t="s">
        <v>1205</v>
      </c>
      <c r="F634">
        <v>74</v>
      </c>
      <c r="G634">
        <v>1999</v>
      </c>
      <c r="H634">
        <v>542</v>
      </c>
      <c r="I634">
        <v>1.5629999999999999</v>
      </c>
      <c r="J634">
        <v>109.57899999999999</v>
      </c>
      <c r="K634">
        <v>49</v>
      </c>
    </row>
    <row r="635" spans="1:11">
      <c r="A635">
        <v>16086</v>
      </c>
      <c r="B635" t="s">
        <v>1611</v>
      </c>
      <c r="C635" t="s">
        <v>552</v>
      </c>
      <c r="E635" t="s">
        <v>1419</v>
      </c>
      <c r="F635">
        <v>84</v>
      </c>
      <c r="G635">
        <v>1950</v>
      </c>
      <c r="H635">
        <v>265</v>
      </c>
      <c r="I635">
        <v>16.940000000000001</v>
      </c>
      <c r="J635">
        <v>690.73400000000004</v>
      </c>
      <c r="K635">
        <v>114</v>
      </c>
    </row>
    <row r="636" spans="1:11">
      <c r="A636">
        <v>98379</v>
      </c>
      <c r="B636" t="s">
        <v>984</v>
      </c>
      <c r="C636" t="s">
        <v>641</v>
      </c>
      <c r="E636" t="s">
        <v>475</v>
      </c>
      <c r="F636">
        <v>63</v>
      </c>
      <c r="G636">
        <v>1953</v>
      </c>
      <c r="H636">
        <v>141</v>
      </c>
      <c r="I636">
        <v>21.984999999999999</v>
      </c>
      <c r="J636">
        <v>1515.4490000000001</v>
      </c>
      <c r="K636">
        <v>621</v>
      </c>
    </row>
    <row r="637" spans="1:11">
      <c r="A637">
        <v>21811</v>
      </c>
      <c r="B637" t="s">
        <v>985</v>
      </c>
      <c r="C637" t="s">
        <v>986</v>
      </c>
      <c r="E637" t="s">
        <v>1210</v>
      </c>
      <c r="F637">
        <v>42</v>
      </c>
      <c r="G637">
        <v>1968</v>
      </c>
      <c r="H637">
        <v>660</v>
      </c>
      <c r="I637">
        <v>1</v>
      </c>
      <c r="J637">
        <v>25.791</v>
      </c>
      <c r="K637">
        <v>0</v>
      </c>
    </row>
    <row r="638" spans="1:11">
      <c r="A638">
        <v>21807</v>
      </c>
      <c r="B638" t="s">
        <v>987</v>
      </c>
      <c r="C638" t="s">
        <v>617</v>
      </c>
      <c r="D638" t="s">
        <v>107</v>
      </c>
      <c r="E638" t="s">
        <v>1210</v>
      </c>
      <c r="F638">
        <v>42</v>
      </c>
      <c r="G638">
        <v>1968</v>
      </c>
      <c r="H638">
        <v>443</v>
      </c>
      <c r="I638">
        <v>4.9379999999999997</v>
      </c>
      <c r="J638">
        <v>219.84</v>
      </c>
      <c r="K638">
        <v>49</v>
      </c>
    </row>
    <row r="639" spans="1:11">
      <c r="A639">
        <v>16149</v>
      </c>
      <c r="B639" t="s">
        <v>1612</v>
      </c>
      <c r="C639" t="s">
        <v>564</v>
      </c>
      <c r="E639" t="s">
        <v>1210</v>
      </c>
      <c r="F639">
        <v>42</v>
      </c>
      <c r="G639">
        <v>1959</v>
      </c>
      <c r="H639">
        <v>668</v>
      </c>
      <c r="I639">
        <v>0.68799999999999994</v>
      </c>
      <c r="J639">
        <v>24.451000000000001</v>
      </c>
      <c r="K639">
        <v>0</v>
      </c>
    </row>
    <row r="640" spans="1:11">
      <c r="A640">
        <v>12048</v>
      </c>
      <c r="B640" t="s">
        <v>988</v>
      </c>
      <c r="C640" t="s">
        <v>741</v>
      </c>
      <c r="E640" t="s">
        <v>170</v>
      </c>
      <c r="F640">
        <v>14</v>
      </c>
      <c r="G640">
        <v>1966</v>
      </c>
      <c r="H640">
        <v>89</v>
      </c>
      <c r="I640">
        <v>27.687999999999999</v>
      </c>
      <c r="J640">
        <v>1973.7139999999999</v>
      </c>
      <c r="K640">
        <v>838</v>
      </c>
    </row>
    <row r="641" spans="1:11">
      <c r="A641">
        <v>99555</v>
      </c>
      <c r="B641" t="s">
        <v>989</v>
      </c>
      <c r="C641" t="s">
        <v>543</v>
      </c>
      <c r="E641" t="s">
        <v>170</v>
      </c>
      <c r="F641">
        <v>14</v>
      </c>
      <c r="G641">
        <v>1981</v>
      </c>
      <c r="H641">
        <v>31</v>
      </c>
      <c r="I641">
        <v>39.25</v>
      </c>
      <c r="J641">
        <v>2885.3</v>
      </c>
      <c r="K641">
        <v>1434</v>
      </c>
    </row>
    <row r="642" spans="1:11">
      <c r="A642">
        <v>15023</v>
      </c>
      <c r="B642" t="s">
        <v>990</v>
      </c>
      <c r="C642" t="s">
        <v>950</v>
      </c>
      <c r="E642" t="s">
        <v>472</v>
      </c>
      <c r="F642">
        <v>54</v>
      </c>
      <c r="G642">
        <v>1965</v>
      </c>
      <c r="H642">
        <v>68</v>
      </c>
      <c r="I642">
        <v>33.75</v>
      </c>
      <c r="J642">
        <v>2210.5100000000002</v>
      </c>
      <c r="K642">
        <v>1126</v>
      </c>
    </row>
    <row r="643" spans="1:11">
      <c r="A643">
        <v>25016</v>
      </c>
      <c r="B643" t="s">
        <v>990</v>
      </c>
      <c r="C643" t="s">
        <v>552</v>
      </c>
      <c r="E643" t="s">
        <v>1203</v>
      </c>
      <c r="F643">
        <v>55</v>
      </c>
      <c r="G643">
        <v>1959</v>
      </c>
      <c r="H643">
        <v>501</v>
      </c>
      <c r="I643">
        <v>2.0150000000000001</v>
      </c>
      <c r="J643">
        <v>156.06399999999999</v>
      </c>
      <c r="K643">
        <v>63</v>
      </c>
    </row>
    <row r="644" spans="1:11">
      <c r="A644">
        <v>29021</v>
      </c>
      <c r="B644" t="s">
        <v>991</v>
      </c>
      <c r="C644" t="s">
        <v>555</v>
      </c>
      <c r="D644" t="s">
        <v>107</v>
      </c>
      <c r="E644" t="s">
        <v>1203</v>
      </c>
      <c r="F644">
        <v>55</v>
      </c>
      <c r="G644">
        <v>1960</v>
      </c>
      <c r="H644">
        <v>635</v>
      </c>
      <c r="I644">
        <v>0.98399999999999999</v>
      </c>
      <c r="J644">
        <v>43.015999999999998</v>
      </c>
      <c r="K644">
        <v>0</v>
      </c>
    </row>
    <row r="645" spans="1:11">
      <c r="A645">
        <v>17001</v>
      </c>
      <c r="B645" t="s">
        <v>1613</v>
      </c>
      <c r="C645" t="s">
        <v>590</v>
      </c>
      <c r="E645" t="s">
        <v>472</v>
      </c>
      <c r="F645">
        <v>54</v>
      </c>
      <c r="G645">
        <v>1987</v>
      </c>
      <c r="H645">
        <v>326</v>
      </c>
      <c r="I645">
        <v>8.4380000000000006</v>
      </c>
      <c r="J645">
        <v>477.34300000000002</v>
      </c>
      <c r="K645">
        <v>81</v>
      </c>
    </row>
    <row r="646" spans="1:11">
      <c r="A646">
        <v>25079</v>
      </c>
      <c r="B646" t="s">
        <v>992</v>
      </c>
      <c r="C646" t="s">
        <v>993</v>
      </c>
      <c r="D646" t="s">
        <v>107</v>
      </c>
      <c r="E646" t="s">
        <v>477</v>
      </c>
      <c r="F646">
        <v>27</v>
      </c>
      <c r="G646">
        <v>1970</v>
      </c>
      <c r="H646">
        <v>244</v>
      </c>
      <c r="I646">
        <v>9.4689999999999994</v>
      </c>
      <c r="J646">
        <v>796.54700000000003</v>
      </c>
      <c r="K646">
        <v>354</v>
      </c>
    </row>
    <row r="647" spans="1:11">
      <c r="A647">
        <v>14003</v>
      </c>
      <c r="B647" t="s">
        <v>994</v>
      </c>
      <c r="C647" t="s">
        <v>937</v>
      </c>
      <c r="D647" t="s">
        <v>91</v>
      </c>
      <c r="E647" t="s">
        <v>487</v>
      </c>
      <c r="F647">
        <v>69</v>
      </c>
      <c r="G647">
        <v>2004</v>
      </c>
      <c r="H647">
        <v>573</v>
      </c>
      <c r="I647">
        <v>2.25</v>
      </c>
      <c r="J647">
        <v>87.078000000000003</v>
      </c>
      <c r="K647">
        <v>0</v>
      </c>
    </row>
    <row r="648" spans="1:11">
      <c r="A648">
        <v>12023</v>
      </c>
      <c r="B648" t="s">
        <v>994</v>
      </c>
      <c r="C648" t="s">
        <v>995</v>
      </c>
      <c r="E648" t="s">
        <v>487</v>
      </c>
      <c r="F648">
        <v>69</v>
      </c>
      <c r="G648">
        <v>1965</v>
      </c>
      <c r="H648">
        <v>87</v>
      </c>
      <c r="I648">
        <v>27.064</v>
      </c>
      <c r="J648">
        <v>1991.6869999999999</v>
      </c>
      <c r="K648">
        <v>882</v>
      </c>
    </row>
    <row r="649" spans="1:11">
      <c r="A649">
        <v>25017</v>
      </c>
      <c r="B649" t="s">
        <v>996</v>
      </c>
      <c r="C649" t="s">
        <v>539</v>
      </c>
      <c r="D649" t="s">
        <v>107</v>
      </c>
      <c r="E649" t="s">
        <v>1203</v>
      </c>
      <c r="F649">
        <v>55</v>
      </c>
      <c r="G649">
        <v>1963</v>
      </c>
      <c r="H649">
        <v>50</v>
      </c>
      <c r="I649">
        <v>34.125</v>
      </c>
      <c r="J649">
        <v>2546.1999999999998</v>
      </c>
      <c r="K649">
        <v>1079</v>
      </c>
    </row>
    <row r="650" spans="1:11">
      <c r="A650">
        <v>10057</v>
      </c>
      <c r="B650" t="s">
        <v>997</v>
      </c>
      <c r="C650" t="s">
        <v>569</v>
      </c>
      <c r="D650" t="s">
        <v>107</v>
      </c>
      <c r="E650" t="s">
        <v>1210</v>
      </c>
      <c r="F650">
        <v>42</v>
      </c>
      <c r="G650">
        <v>1974</v>
      </c>
      <c r="H650">
        <v>830</v>
      </c>
      <c r="I650">
        <v>0</v>
      </c>
      <c r="J650">
        <v>0</v>
      </c>
      <c r="K650">
        <v>0</v>
      </c>
    </row>
    <row r="651" spans="1:11">
      <c r="A651">
        <v>21805</v>
      </c>
      <c r="B651" t="s">
        <v>998</v>
      </c>
      <c r="C651" t="s">
        <v>859</v>
      </c>
      <c r="D651" t="s">
        <v>107</v>
      </c>
      <c r="E651" t="s">
        <v>1210</v>
      </c>
      <c r="F651">
        <v>42</v>
      </c>
      <c r="G651">
        <v>1959</v>
      </c>
      <c r="H651">
        <v>199</v>
      </c>
      <c r="I651">
        <v>16.251000000000001</v>
      </c>
      <c r="J651">
        <v>1080.529</v>
      </c>
      <c r="K651">
        <v>458</v>
      </c>
    </row>
    <row r="652" spans="1:11">
      <c r="A652">
        <v>26086</v>
      </c>
      <c r="B652" t="s">
        <v>1614</v>
      </c>
      <c r="C652" t="s">
        <v>552</v>
      </c>
      <c r="E652" t="s">
        <v>1234</v>
      </c>
      <c r="F652">
        <v>36</v>
      </c>
      <c r="G652">
        <v>1989</v>
      </c>
      <c r="H652">
        <v>832</v>
      </c>
      <c r="I652">
        <v>0</v>
      </c>
      <c r="J652">
        <v>0</v>
      </c>
      <c r="K652">
        <v>0</v>
      </c>
    </row>
    <row r="653" spans="1:11">
      <c r="A653">
        <v>15092</v>
      </c>
      <c r="B653" t="s">
        <v>1614</v>
      </c>
      <c r="C653" t="s">
        <v>553</v>
      </c>
      <c r="E653" t="s">
        <v>1234</v>
      </c>
      <c r="F653">
        <v>36</v>
      </c>
      <c r="G653">
        <v>1988</v>
      </c>
      <c r="H653">
        <v>831</v>
      </c>
      <c r="I653">
        <v>0</v>
      </c>
      <c r="J653">
        <v>0</v>
      </c>
      <c r="K653">
        <v>0</v>
      </c>
    </row>
    <row r="654" spans="1:11">
      <c r="A654">
        <v>21825</v>
      </c>
      <c r="B654" t="s">
        <v>999</v>
      </c>
      <c r="C654" t="s">
        <v>555</v>
      </c>
      <c r="D654" t="s">
        <v>107</v>
      </c>
      <c r="E654" t="s">
        <v>1234</v>
      </c>
      <c r="F654">
        <v>36</v>
      </c>
      <c r="G654">
        <v>1959</v>
      </c>
      <c r="H654">
        <v>833</v>
      </c>
      <c r="I654">
        <v>0</v>
      </c>
      <c r="J654">
        <v>0</v>
      </c>
      <c r="K654">
        <v>0</v>
      </c>
    </row>
    <row r="655" spans="1:11">
      <c r="A655">
        <v>22007</v>
      </c>
      <c r="B655" t="s">
        <v>1000</v>
      </c>
      <c r="C655" t="s">
        <v>589</v>
      </c>
      <c r="E655" t="s">
        <v>1206</v>
      </c>
      <c r="F655">
        <v>24</v>
      </c>
      <c r="G655">
        <v>1977</v>
      </c>
      <c r="H655">
        <v>22</v>
      </c>
      <c r="I655">
        <v>35.375</v>
      </c>
      <c r="J655">
        <v>3112.7350000000001</v>
      </c>
      <c r="K655">
        <v>1497</v>
      </c>
    </row>
    <row r="656" spans="1:11">
      <c r="A656">
        <v>20701</v>
      </c>
      <c r="B656" t="s">
        <v>1001</v>
      </c>
      <c r="C656" t="s">
        <v>684</v>
      </c>
      <c r="D656" t="s">
        <v>107</v>
      </c>
      <c r="E656" t="s">
        <v>198</v>
      </c>
      <c r="F656">
        <v>17</v>
      </c>
      <c r="G656">
        <v>1971</v>
      </c>
      <c r="H656">
        <v>163</v>
      </c>
      <c r="I656">
        <v>20.032</v>
      </c>
      <c r="J656">
        <v>1324.999</v>
      </c>
      <c r="K656">
        <v>532</v>
      </c>
    </row>
    <row r="657" spans="1:11">
      <c r="A657">
        <v>16131</v>
      </c>
      <c r="B657" t="s">
        <v>1615</v>
      </c>
      <c r="C657" t="s">
        <v>608</v>
      </c>
      <c r="D657" t="s">
        <v>91</v>
      </c>
      <c r="E657" t="s">
        <v>1197</v>
      </c>
      <c r="F657">
        <v>2</v>
      </c>
      <c r="G657">
        <v>2006</v>
      </c>
      <c r="H657">
        <v>834</v>
      </c>
      <c r="I657">
        <v>0</v>
      </c>
      <c r="J657">
        <v>0</v>
      </c>
      <c r="K657">
        <v>0</v>
      </c>
    </row>
    <row r="658" spans="1:11">
      <c r="A658">
        <v>15089</v>
      </c>
      <c r="B658" t="s">
        <v>1616</v>
      </c>
      <c r="C658" t="s">
        <v>580</v>
      </c>
      <c r="D658" t="s">
        <v>107</v>
      </c>
      <c r="E658" t="s">
        <v>1209</v>
      </c>
      <c r="F658">
        <v>28</v>
      </c>
      <c r="G658">
        <v>1950</v>
      </c>
      <c r="H658">
        <v>424</v>
      </c>
      <c r="I658">
        <v>4.72</v>
      </c>
      <c r="J658">
        <v>259.16399999999999</v>
      </c>
      <c r="K658">
        <v>89</v>
      </c>
    </row>
    <row r="659" spans="1:11">
      <c r="A659">
        <v>16130</v>
      </c>
      <c r="B659" t="s">
        <v>1617</v>
      </c>
      <c r="C659" t="s">
        <v>683</v>
      </c>
      <c r="D659" t="s">
        <v>655</v>
      </c>
      <c r="E659" t="s">
        <v>1197</v>
      </c>
      <c r="F659">
        <v>2</v>
      </c>
      <c r="G659">
        <v>2006</v>
      </c>
      <c r="H659">
        <v>835</v>
      </c>
      <c r="I659">
        <v>0</v>
      </c>
      <c r="J659">
        <v>0</v>
      </c>
      <c r="K659">
        <v>0</v>
      </c>
    </row>
    <row r="660" spans="1:11">
      <c r="A660">
        <v>24271</v>
      </c>
      <c r="B660" t="s">
        <v>1002</v>
      </c>
      <c r="C660" t="s">
        <v>558</v>
      </c>
      <c r="E660" t="s">
        <v>170</v>
      </c>
      <c r="F660">
        <v>14</v>
      </c>
      <c r="G660">
        <v>1972</v>
      </c>
      <c r="H660">
        <v>472</v>
      </c>
      <c r="I660">
        <v>2.9380000000000002</v>
      </c>
      <c r="J660">
        <v>191.41</v>
      </c>
      <c r="K660">
        <v>78</v>
      </c>
    </row>
    <row r="661" spans="1:11">
      <c r="A661">
        <v>96121</v>
      </c>
      <c r="B661" t="s">
        <v>1004</v>
      </c>
      <c r="C661" t="s">
        <v>535</v>
      </c>
      <c r="E661" t="s">
        <v>484</v>
      </c>
      <c r="F661">
        <v>7</v>
      </c>
      <c r="G661">
        <v>1972</v>
      </c>
      <c r="H661">
        <v>678</v>
      </c>
      <c r="I661">
        <v>0.81299999999999994</v>
      </c>
      <c r="J661">
        <v>18.507999999999999</v>
      </c>
      <c r="K661">
        <v>0</v>
      </c>
    </row>
    <row r="662" spans="1:11">
      <c r="A662">
        <v>14025</v>
      </c>
      <c r="B662" t="s">
        <v>1618</v>
      </c>
      <c r="C662" t="s">
        <v>564</v>
      </c>
      <c r="E662" t="s">
        <v>576</v>
      </c>
      <c r="F662">
        <v>73</v>
      </c>
      <c r="G662">
        <v>1951</v>
      </c>
      <c r="H662">
        <v>420</v>
      </c>
      <c r="I662">
        <v>6.8129999999999997</v>
      </c>
      <c r="J662">
        <v>265.423</v>
      </c>
      <c r="K662">
        <v>0</v>
      </c>
    </row>
    <row r="663" spans="1:11">
      <c r="A663">
        <v>15007</v>
      </c>
      <c r="B663" t="s">
        <v>1619</v>
      </c>
      <c r="C663" t="s">
        <v>539</v>
      </c>
      <c r="D663" t="s">
        <v>107</v>
      </c>
      <c r="E663" t="s">
        <v>1221</v>
      </c>
      <c r="F663">
        <v>15</v>
      </c>
      <c r="G663">
        <v>1997</v>
      </c>
      <c r="H663">
        <v>47</v>
      </c>
      <c r="I663">
        <v>33.75</v>
      </c>
      <c r="J663">
        <v>2594.5700000000002</v>
      </c>
      <c r="K663">
        <v>1428</v>
      </c>
    </row>
    <row r="664" spans="1:11">
      <c r="A664">
        <v>16088</v>
      </c>
      <c r="B664" t="s">
        <v>1005</v>
      </c>
      <c r="C664" t="s">
        <v>1620</v>
      </c>
      <c r="D664" t="s">
        <v>107</v>
      </c>
      <c r="E664" t="s">
        <v>1419</v>
      </c>
      <c r="F664">
        <v>84</v>
      </c>
      <c r="G664">
        <v>1952</v>
      </c>
      <c r="H664">
        <v>437</v>
      </c>
      <c r="I664">
        <v>4.2430000000000003</v>
      </c>
      <c r="J664">
        <v>231.00800000000001</v>
      </c>
      <c r="K664">
        <v>55</v>
      </c>
    </row>
    <row r="665" spans="1:11">
      <c r="A665">
        <v>97242</v>
      </c>
      <c r="B665" t="s">
        <v>1006</v>
      </c>
      <c r="C665" t="s">
        <v>590</v>
      </c>
      <c r="E665" t="s">
        <v>1197</v>
      </c>
      <c r="F665">
        <v>2</v>
      </c>
      <c r="G665">
        <v>1951</v>
      </c>
      <c r="H665">
        <v>519</v>
      </c>
      <c r="I665">
        <v>3.875</v>
      </c>
      <c r="J665">
        <v>131.18700000000001</v>
      </c>
      <c r="K665">
        <v>0</v>
      </c>
    </row>
    <row r="666" spans="1:11">
      <c r="A666">
        <v>98305</v>
      </c>
      <c r="B666" t="s">
        <v>1007</v>
      </c>
      <c r="C666" t="s">
        <v>1008</v>
      </c>
      <c r="D666" t="s">
        <v>107</v>
      </c>
      <c r="E666" t="s">
        <v>1197</v>
      </c>
      <c r="F666">
        <v>2</v>
      </c>
      <c r="G666">
        <v>1951</v>
      </c>
      <c r="H666">
        <v>836</v>
      </c>
      <c r="I666">
        <v>0</v>
      </c>
      <c r="J666">
        <v>0</v>
      </c>
      <c r="K666">
        <v>0</v>
      </c>
    </row>
    <row r="667" spans="1:11">
      <c r="A667">
        <v>23084</v>
      </c>
      <c r="B667" t="s">
        <v>1009</v>
      </c>
      <c r="C667" t="s">
        <v>813</v>
      </c>
      <c r="E667" t="s">
        <v>1197</v>
      </c>
      <c r="F667">
        <v>2</v>
      </c>
      <c r="G667">
        <v>1952</v>
      </c>
      <c r="H667">
        <v>269</v>
      </c>
      <c r="I667">
        <v>13.188000000000001</v>
      </c>
      <c r="J667">
        <v>684.255</v>
      </c>
      <c r="K667">
        <v>183</v>
      </c>
    </row>
    <row r="668" spans="1:11">
      <c r="A668">
        <v>10129</v>
      </c>
      <c r="B668" t="s">
        <v>1010</v>
      </c>
      <c r="C668" t="s">
        <v>659</v>
      </c>
      <c r="D668" t="s">
        <v>107</v>
      </c>
      <c r="E668" t="s">
        <v>477</v>
      </c>
      <c r="F668">
        <v>27</v>
      </c>
      <c r="G668">
        <v>1950</v>
      </c>
      <c r="H668">
        <v>319</v>
      </c>
      <c r="I668">
        <v>9.5630000000000006</v>
      </c>
      <c r="J668">
        <v>506.101</v>
      </c>
      <c r="K668">
        <v>149</v>
      </c>
    </row>
    <row r="669" spans="1:11">
      <c r="A669">
        <v>27086</v>
      </c>
      <c r="B669" t="s">
        <v>1011</v>
      </c>
      <c r="C669" t="s">
        <v>584</v>
      </c>
      <c r="E669" t="s">
        <v>200</v>
      </c>
      <c r="F669">
        <v>19</v>
      </c>
      <c r="G669">
        <v>1947</v>
      </c>
      <c r="H669">
        <v>507</v>
      </c>
      <c r="I669">
        <v>2.8130000000000002</v>
      </c>
      <c r="J669">
        <v>148.06800000000001</v>
      </c>
      <c r="K669">
        <v>39</v>
      </c>
    </row>
    <row r="670" spans="1:11">
      <c r="A670">
        <v>20724</v>
      </c>
      <c r="B670" t="s">
        <v>1011</v>
      </c>
      <c r="C670" t="s">
        <v>590</v>
      </c>
      <c r="E670" t="s">
        <v>200</v>
      </c>
      <c r="F670">
        <v>19</v>
      </c>
      <c r="G670">
        <v>1956</v>
      </c>
      <c r="H670">
        <v>506</v>
      </c>
      <c r="I670">
        <v>2.8130000000000002</v>
      </c>
      <c r="J670">
        <v>148.06800000000001</v>
      </c>
      <c r="K670">
        <v>39</v>
      </c>
    </row>
    <row r="671" spans="1:11">
      <c r="A671">
        <v>17048</v>
      </c>
      <c r="B671" t="s">
        <v>1621</v>
      </c>
      <c r="C671" t="s">
        <v>584</v>
      </c>
      <c r="E671" t="s">
        <v>1200</v>
      </c>
      <c r="F671">
        <v>70</v>
      </c>
      <c r="G671">
        <v>1938</v>
      </c>
      <c r="H671">
        <v>837</v>
      </c>
      <c r="I671">
        <v>0</v>
      </c>
      <c r="J671">
        <v>0</v>
      </c>
      <c r="K671">
        <v>0</v>
      </c>
    </row>
    <row r="672" spans="1:11">
      <c r="A672">
        <v>17073</v>
      </c>
      <c r="B672" t="s">
        <v>1622</v>
      </c>
      <c r="C672" t="s">
        <v>638</v>
      </c>
      <c r="D672" t="s">
        <v>107</v>
      </c>
      <c r="E672" t="s">
        <v>1287</v>
      </c>
      <c r="F672">
        <v>65</v>
      </c>
      <c r="G672">
        <v>1946</v>
      </c>
      <c r="H672">
        <v>838</v>
      </c>
      <c r="I672">
        <v>0</v>
      </c>
      <c r="J672">
        <v>0</v>
      </c>
      <c r="K672">
        <v>0</v>
      </c>
    </row>
    <row r="673" spans="1:11">
      <c r="A673">
        <v>27075</v>
      </c>
      <c r="B673" t="s">
        <v>1012</v>
      </c>
      <c r="C673" t="s">
        <v>558</v>
      </c>
      <c r="E673" t="s">
        <v>1196</v>
      </c>
      <c r="F673">
        <v>61</v>
      </c>
      <c r="G673">
        <v>1982</v>
      </c>
      <c r="H673">
        <v>839</v>
      </c>
      <c r="I673">
        <v>0</v>
      </c>
      <c r="J673">
        <v>0</v>
      </c>
      <c r="K673">
        <v>0</v>
      </c>
    </row>
    <row r="674" spans="1:11">
      <c r="A674">
        <v>98417</v>
      </c>
      <c r="B674" t="s">
        <v>1013</v>
      </c>
      <c r="C674" t="s">
        <v>659</v>
      </c>
      <c r="D674" t="s">
        <v>107</v>
      </c>
      <c r="E674" t="s">
        <v>495</v>
      </c>
      <c r="F674">
        <v>64</v>
      </c>
      <c r="G674">
        <v>1953</v>
      </c>
      <c r="H674">
        <v>840</v>
      </c>
      <c r="I674">
        <v>0</v>
      </c>
      <c r="J674">
        <v>0</v>
      </c>
      <c r="K674">
        <v>0</v>
      </c>
    </row>
    <row r="675" spans="1:11">
      <c r="A675">
        <v>17008</v>
      </c>
      <c r="B675" t="s">
        <v>1013</v>
      </c>
      <c r="C675" t="s">
        <v>1623</v>
      </c>
      <c r="D675" t="s">
        <v>107</v>
      </c>
      <c r="E675" t="s">
        <v>1482</v>
      </c>
      <c r="F675">
        <v>85</v>
      </c>
      <c r="G675">
        <v>1952</v>
      </c>
      <c r="H675">
        <v>841</v>
      </c>
      <c r="I675">
        <v>0</v>
      </c>
      <c r="J675">
        <v>0</v>
      </c>
      <c r="K675">
        <v>0</v>
      </c>
    </row>
    <row r="676" spans="1:11">
      <c r="A676">
        <v>17050</v>
      </c>
      <c r="B676" t="s">
        <v>1624</v>
      </c>
      <c r="C676" t="s">
        <v>610</v>
      </c>
      <c r="D676" t="s">
        <v>107</v>
      </c>
      <c r="E676" t="s">
        <v>1200</v>
      </c>
      <c r="F676">
        <v>70</v>
      </c>
      <c r="G676">
        <v>1936</v>
      </c>
      <c r="H676">
        <v>842</v>
      </c>
      <c r="I676">
        <v>0</v>
      </c>
      <c r="J676">
        <v>0</v>
      </c>
      <c r="K676">
        <v>0</v>
      </c>
    </row>
    <row r="677" spans="1:11">
      <c r="A677">
        <v>13046</v>
      </c>
      <c r="B677" t="s">
        <v>1242</v>
      </c>
      <c r="C677" t="s">
        <v>741</v>
      </c>
      <c r="E677" t="s">
        <v>470</v>
      </c>
      <c r="F677">
        <v>20</v>
      </c>
      <c r="G677">
        <v>1941</v>
      </c>
      <c r="H677">
        <v>248</v>
      </c>
      <c r="I677">
        <v>14.125</v>
      </c>
      <c r="J677">
        <v>772.11900000000003</v>
      </c>
      <c r="K677">
        <v>189</v>
      </c>
    </row>
    <row r="678" spans="1:11">
      <c r="A678">
        <v>11057</v>
      </c>
      <c r="B678" t="s">
        <v>1014</v>
      </c>
      <c r="C678" t="s">
        <v>1015</v>
      </c>
      <c r="E678" t="s">
        <v>497</v>
      </c>
      <c r="F678">
        <v>51</v>
      </c>
      <c r="G678">
        <v>1968</v>
      </c>
      <c r="H678">
        <v>843</v>
      </c>
      <c r="I678">
        <v>0</v>
      </c>
      <c r="J678">
        <v>0</v>
      </c>
      <c r="K678">
        <v>0</v>
      </c>
    </row>
    <row r="679" spans="1:11">
      <c r="A679">
        <v>14041</v>
      </c>
      <c r="B679" t="s">
        <v>1625</v>
      </c>
      <c r="C679" t="s">
        <v>564</v>
      </c>
      <c r="E679" t="s">
        <v>1400</v>
      </c>
      <c r="F679">
        <v>78</v>
      </c>
      <c r="G679">
        <v>1961</v>
      </c>
      <c r="H679">
        <v>334</v>
      </c>
      <c r="I679">
        <v>3.2810000000000001</v>
      </c>
      <c r="J679">
        <v>456.30700000000002</v>
      </c>
      <c r="K679">
        <v>297</v>
      </c>
    </row>
    <row r="680" spans="1:11">
      <c r="A680">
        <v>12084</v>
      </c>
      <c r="B680" t="s">
        <v>1243</v>
      </c>
      <c r="C680" t="s">
        <v>1003</v>
      </c>
      <c r="E680" t="s">
        <v>491</v>
      </c>
      <c r="F680">
        <v>21</v>
      </c>
      <c r="G680">
        <v>1963</v>
      </c>
      <c r="H680">
        <v>844</v>
      </c>
      <c r="I680">
        <v>0</v>
      </c>
      <c r="J680">
        <v>0</v>
      </c>
      <c r="K680">
        <v>0</v>
      </c>
    </row>
    <row r="681" spans="1:11">
      <c r="A681">
        <v>12011</v>
      </c>
      <c r="B681" t="s">
        <v>1016</v>
      </c>
      <c r="C681" t="s">
        <v>534</v>
      </c>
      <c r="E681" t="s">
        <v>172</v>
      </c>
      <c r="F681">
        <v>48</v>
      </c>
      <c r="G681">
        <v>1985</v>
      </c>
      <c r="H681">
        <v>260</v>
      </c>
      <c r="I681">
        <v>8.3279999999999994</v>
      </c>
      <c r="J681">
        <v>714.20899999999995</v>
      </c>
      <c r="K681">
        <v>349</v>
      </c>
    </row>
    <row r="682" spans="1:11">
      <c r="A682">
        <v>96041</v>
      </c>
      <c r="B682" t="s">
        <v>1017</v>
      </c>
      <c r="C682" t="s">
        <v>567</v>
      </c>
      <c r="D682" t="s">
        <v>107</v>
      </c>
      <c r="E682" t="s">
        <v>501</v>
      </c>
      <c r="F682">
        <v>1</v>
      </c>
      <c r="G682">
        <v>1955</v>
      </c>
      <c r="H682">
        <v>845</v>
      </c>
      <c r="I682">
        <v>0</v>
      </c>
      <c r="J682">
        <v>0</v>
      </c>
      <c r="K682">
        <v>0</v>
      </c>
    </row>
    <row r="683" spans="1:11">
      <c r="A683">
        <v>14061</v>
      </c>
      <c r="B683" t="s">
        <v>1626</v>
      </c>
      <c r="C683" t="s">
        <v>551</v>
      </c>
      <c r="E683" t="s">
        <v>576</v>
      </c>
      <c r="F683">
        <v>73</v>
      </c>
      <c r="G683">
        <v>1951</v>
      </c>
      <c r="H683">
        <v>548</v>
      </c>
      <c r="I683">
        <v>2.0470000000000002</v>
      </c>
      <c r="J683">
        <v>101.77800000000001</v>
      </c>
      <c r="K683">
        <v>23</v>
      </c>
    </row>
    <row r="684" spans="1:11">
      <c r="A684">
        <v>16150</v>
      </c>
      <c r="B684" t="s">
        <v>1018</v>
      </c>
      <c r="C684" t="s">
        <v>1627</v>
      </c>
      <c r="E684" t="s">
        <v>487</v>
      </c>
      <c r="F684">
        <v>69</v>
      </c>
      <c r="G684">
        <v>1955</v>
      </c>
      <c r="H684">
        <v>624</v>
      </c>
      <c r="I684">
        <v>0.68799999999999994</v>
      </c>
      <c r="J684">
        <v>49.813000000000002</v>
      </c>
      <c r="K684">
        <v>21</v>
      </c>
    </row>
    <row r="685" spans="1:11">
      <c r="A685">
        <v>10040</v>
      </c>
      <c r="B685" t="s">
        <v>1018</v>
      </c>
      <c r="C685" t="s">
        <v>553</v>
      </c>
      <c r="E685" t="s">
        <v>681</v>
      </c>
      <c r="F685">
        <v>68</v>
      </c>
      <c r="G685">
        <v>1976</v>
      </c>
      <c r="H685">
        <v>464</v>
      </c>
      <c r="I685">
        <v>2.0470000000000002</v>
      </c>
      <c r="J685">
        <v>195.864</v>
      </c>
      <c r="K685">
        <v>96</v>
      </c>
    </row>
    <row r="686" spans="1:11">
      <c r="A686">
        <v>15084</v>
      </c>
      <c r="B686" t="s">
        <v>1628</v>
      </c>
      <c r="C686" t="s">
        <v>589</v>
      </c>
      <c r="E686" t="s">
        <v>1197</v>
      </c>
      <c r="F686">
        <v>2</v>
      </c>
      <c r="G686">
        <v>1965</v>
      </c>
      <c r="H686">
        <v>483</v>
      </c>
      <c r="I686">
        <v>6.4690000000000003</v>
      </c>
      <c r="J686">
        <v>178.09100000000001</v>
      </c>
      <c r="K686">
        <v>0</v>
      </c>
    </row>
    <row r="687" spans="1:11">
      <c r="A687">
        <v>11040</v>
      </c>
      <c r="B687" t="s">
        <v>1019</v>
      </c>
      <c r="C687" t="s">
        <v>1020</v>
      </c>
      <c r="D687" t="s">
        <v>91</v>
      </c>
      <c r="E687" t="s">
        <v>501</v>
      </c>
      <c r="F687">
        <v>1</v>
      </c>
      <c r="G687">
        <v>2002</v>
      </c>
      <c r="H687">
        <v>846</v>
      </c>
      <c r="I687">
        <v>0</v>
      </c>
      <c r="J687">
        <v>0</v>
      </c>
      <c r="K687">
        <v>0</v>
      </c>
    </row>
    <row r="688" spans="1:11">
      <c r="A688">
        <v>16109</v>
      </c>
      <c r="B688" t="s">
        <v>1629</v>
      </c>
      <c r="C688" t="s">
        <v>1539</v>
      </c>
      <c r="D688" t="s">
        <v>107</v>
      </c>
      <c r="E688" t="s">
        <v>1202</v>
      </c>
      <c r="F688">
        <v>76</v>
      </c>
      <c r="G688">
        <v>1949</v>
      </c>
      <c r="H688">
        <v>190</v>
      </c>
      <c r="I688">
        <v>19.751000000000001</v>
      </c>
      <c r="J688">
        <v>1130.021</v>
      </c>
      <c r="K688">
        <v>347</v>
      </c>
    </row>
    <row r="689" spans="1:11">
      <c r="A689">
        <v>14098</v>
      </c>
      <c r="B689" t="s">
        <v>1630</v>
      </c>
      <c r="C689" t="s">
        <v>572</v>
      </c>
      <c r="E689" t="s">
        <v>164</v>
      </c>
      <c r="F689">
        <v>52</v>
      </c>
      <c r="G689">
        <v>1980</v>
      </c>
      <c r="H689">
        <v>233</v>
      </c>
      <c r="I689">
        <v>16.251999999999999</v>
      </c>
      <c r="J689">
        <v>870.25300000000004</v>
      </c>
      <c r="K689">
        <v>290</v>
      </c>
    </row>
    <row r="690" spans="1:11">
      <c r="A690">
        <v>13039</v>
      </c>
      <c r="B690" t="s">
        <v>1244</v>
      </c>
      <c r="C690" t="s">
        <v>552</v>
      </c>
      <c r="E690" t="s">
        <v>172</v>
      </c>
      <c r="F690">
        <v>48</v>
      </c>
      <c r="G690">
        <v>1948</v>
      </c>
      <c r="H690">
        <v>492</v>
      </c>
      <c r="I690">
        <v>2.907</v>
      </c>
      <c r="J690">
        <v>163.32499999999999</v>
      </c>
      <c r="K690">
        <v>47</v>
      </c>
    </row>
    <row r="691" spans="1:11">
      <c r="A691">
        <v>15009</v>
      </c>
      <c r="B691" t="s">
        <v>1631</v>
      </c>
      <c r="C691" t="s">
        <v>543</v>
      </c>
      <c r="E691" t="s">
        <v>1221</v>
      </c>
      <c r="F691">
        <v>15</v>
      </c>
      <c r="G691">
        <v>1995</v>
      </c>
      <c r="H691">
        <v>133</v>
      </c>
      <c r="I691">
        <v>25.064</v>
      </c>
      <c r="J691">
        <v>1636.511</v>
      </c>
      <c r="K691">
        <v>615</v>
      </c>
    </row>
    <row r="692" spans="1:11">
      <c r="A692">
        <v>15008</v>
      </c>
      <c r="B692" t="s">
        <v>1631</v>
      </c>
      <c r="C692" t="s">
        <v>829</v>
      </c>
      <c r="E692" t="s">
        <v>1221</v>
      </c>
      <c r="F692">
        <v>15</v>
      </c>
      <c r="G692">
        <v>1995</v>
      </c>
      <c r="H692">
        <v>29</v>
      </c>
      <c r="I692">
        <v>41</v>
      </c>
      <c r="J692">
        <v>2885.6570000000002</v>
      </c>
      <c r="K692">
        <v>1554</v>
      </c>
    </row>
    <row r="693" spans="1:11">
      <c r="A693">
        <v>16093</v>
      </c>
      <c r="B693" t="s">
        <v>1632</v>
      </c>
      <c r="C693" t="s">
        <v>673</v>
      </c>
      <c r="E693" t="s">
        <v>1419</v>
      </c>
      <c r="F693">
        <v>84</v>
      </c>
      <c r="G693">
        <v>1945</v>
      </c>
      <c r="H693">
        <v>616</v>
      </c>
      <c r="I693">
        <v>1.3129999999999999</v>
      </c>
      <c r="J693">
        <v>53.116999999999997</v>
      </c>
      <c r="K693">
        <v>0</v>
      </c>
    </row>
    <row r="694" spans="1:11">
      <c r="A694">
        <v>26023</v>
      </c>
      <c r="B694" t="s">
        <v>1021</v>
      </c>
      <c r="C694" t="s">
        <v>584</v>
      </c>
      <c r="E694" t="s">
        <v>1167</v>
      </c>
      <c r="F694">
        <v>56</v>
      </c>
      <c r="G694">
        <v>1956</v>
      </c>
      <c r="H694">
        <v>582</v>
      </c>
      <c r="I694">
        <v>2.25</v>
      </c>
      <c r="J694">
        <v>78.114999999999995</v>
      </c>
      <c r="K694">
        <v>0</v>
      </c>
    </row>
    <row r="695" spans="1:11">
      <c r="A695">
        <v>15081</v>
      </c>
      <c r="B695" t="s">
        <v>1246</v>
      </c>
      <c r="C695" t="s">
        <v>541</v>
      </c>
      <c r="E695" t="s">
        <v>1197</v>
      </c>
      <c r="F695">
        <v>2</v>
      </c>
      <c r="G695">
        <v>1992</v>
      </c>
      <c r="H695">
        <v>570</v>
      </c>
      <c r="I695">
        <v>3.75</v>
      </c>
      <c r="J695">
        <v>89.308999999999997</v>
      </c>
      <c r="K695">
        <v>0</v>
      </c>
    </row>
    <row r="696" spans="1:11">
      <c r="A696">
        <v>12079</v>
      </c>
      <c r="B696" t="s">
        <v>1247</v>
      </c>
      <c r="C696" t="s">
        <v>621</v>
      </c>
      <c r="E696" t="s">
        <v>576</v>
      </c>
      <c r="F696">
        <v>73</v>
      </c>
      <c r="G696">
        <v>1940</v>
      </c>
      <c r="H696">
        <v>224</v>
      </c>
      <c r="I696">
        <v>17.251000000000001</v>
      </c>
      <c r="J696">
        <v>897.68299999999999</v>
      </c>
      <c r="K696">
        <v>183</v>
      </c>
    </row>
    <row r="697" spans="1:11">
      <c r="A697">
        <v>26001</v>
      </c>
      <c r="B697" t="s">
        <v>1022</v>
      </c>
      <c r="C697" t="s">
        <v>684</v>
      </c>
      <c r="D697" t="s">
        <v>107</v>
      </c>
      <c r="E697" t="s">
        <v>198</v>
      </c>
      <c r="F697">
        <v>17</v>
      </c>
      <c r="G697">
        <v>1997</v>
      </c>
      <c r="H697">
        <v>226</v>
      </c>
      <c r="I697">
        <v>9.7360000000000007</v>
      </c>
      <c r="J697">
        <v>893.61099999999999</v>
      </c>
      <c r="K697">
        <v>478</v>
      </c>
    </row>
    <row r="698" spans="1:11">
      <c r="A698">
        <v>14048</v>
      </c>
      <c r="B698" t="s">
        <v>1633</v>
      </c>
      <c r="C698" t="s">
        <v>597</v>
      </c>
      <c r="E698" t="s">
        <v>1202</v>
      </c>
      <c r="F698">
        <v>76</v>
      </c>
      <c r="G698">
        <v>1942</v>
      </c>
      <c r="H698">
        <v>287</v>
      </c>
      <c r="I698">
        <v>11.500999999999999</v>
      </c>
      <c r="J698">
        <v>623.37599999999998</v>
      </c>
      <c r="K698">
        <v>139</v>
      </c>
    </row>
    <row r="699" spans="1:11">
      <c r="A699">
        <v>12022</v>
      </c>
      <c r="B699" t="s">
        <v>1023</v>
      </c>
      <c r="C699" t="s">
        <v>825</v>
      </c>
      <c r="D699" t="s">
        <v>107</v>
      </c>
      <c r="E699" t="s">
        <v>198</v>
      </c>
      <c r="F699">
        <v>17</v>
      </c>
      <c r="G699">
        <v>1986</v>
      </c>
      <c r="H699">
        <v>23</v>
      </c>
      <c r="I699">
        <v>36.438000000000002</v>
      </c>
      <c r="J699">
        <v>3096.31</v>
      </c>
      <c r="K699">
        <v>1607</v>
      </c>
    </row>
    <row r="700" spans="1:11">
      <c r="A700">
        <v>13041</v>
      </c>
      <c r="B700" t="s">
        <v>1248</v>
      </c>
      <c r="C700" t="s">
        <v>537</v>
      </c>
      <c r="D700" t="s">
        <v>107</v>
      </c>
      <c r="E700" t="s">
        <v>501</v>
      </c>
      <c r="F700">
        <v>1</v>
      </c>
      <c r="G700">
        <v>1959</v>
      </c>
      <c r="H700">
        <v>551</v>
      </c>
      <c r="I700">
        <v>3.5939999999999999</v>
      </c>
      <c r="J700">
        <v>100.336</v>
      </c>
      <c r="K700">
        <v>0</v>
      </c>
    </row>
    <row r="701" spans="1:11">
      <c r="A701">
        <v>17013</v>
      </c>
      <c r="B701" t="s">
        <v>1634</v>
      </c>
      <c r="C701" t="s">
        <v>840</v>
      </c>
      <c r="E701" t="s">
        <v>1419</v>
      </c>
      <c r="F701">
        <v>84</v>
      </c>
      <c r="G701">
        <v>1953</v>
      </c>
      <c r="H701">
        <v>544</v>
      </c>
      <c r="I701">
        <v>2.3130000000000002</v>
      </c>
      <c r="J701">
        <v>106.422</v>
      </c>
      <c r="K701">
        <v>0</v>
      </c>
    </row>
    <row r="702" spans="1:11">
      <c r="A702">
        <v>15069</v>
      </c>
      <c r="B702" t="s">
        <v>1635</v>
      </c>
      <c r="C702" t="s">
        <v>597</v>
      </c>
      <c r="E702" t="s">
        <v>1202</v>
      </c>
      <c r="F702">
        <v>76</v>
      </c>
      <c r="G702">
        <v>1983</v>
      </c>
      <c r="H702">
        <v>307</v>
      </c>
      <c r="I702">
        <v>7.5</v>
      </c>
      <c r="J702">
        <v>549.63499999999999</v>
      </c>
      <c r="K702">
        <v>226</v>
      </c>
    </row>
    <row r="703" spans="1:11">
      <c r="A703">
        <v>16145</v>
      </c>
      <c r="B703" t="s">
        <v>1636</v>
      </c>
      <c r="C703" t="s">
        <v>534</v>
      </c>
      <c r="E703" t="s">
        <v>487</v>
      </c>
      <c r="F703">
        <v>69</v>
      </c>
      <c r="G703">
        <v>1981</v>
      </c>
      <c r="H703">
        <v>482</v>
      </c>
      <c r="I703">
        <v>1.9379999999999999</v>
      </c>
      <c r="J703">
        <v>181.20099999999999</v>
      </c>
      <c r="K703">
        <v>100</v>
      </c>
    </row>
    <row r="704" spans="1:11">
      <c r="A704">
        <v>97236</v>
      </c>
      <c r="B704" t="s">
        <v>1024</v>
      </c>
      <c r="C704" t="s">
        <v>1025</v>
      </c>
      <c r="E704" t="s">
        <v>491</v>
      </c>
      <c r="F704">
        <v>21</v>
      </c>
      <c r="G704">
        <v>1978</v>
      </c>
      <c r="H704">
        <v>849</v>
      </c>
      <c r="I704">
        <v>0</v>
      </c>
      <c r="J704">
        <v>0</v>
      </c>
      <c r="K704">
        <v>0</v>
      </c>
    </row>
    <row r="705" spans="1:11">
      <c r="A705">
        <v>96050</v>
      </c>
      <c r="B705" t="s">
        <v>1024</v>
      </c>
      <c r="C705" t="s">
        <v>1026</v>
      </c>
      <c r="E705" t="s">
        <v>491</v>
      </c>
      <c r="F705">
        <v>21</v>
      </c>
      <c r="G705">
        <v>1928</v>
      </c>
      <c r="H705">
        <v>847</v>
      </c>
      <c r="I705">
        <v>0</v>
      </c>
      <c r="J705">
        <v>0</v>
      </c>
      <c r="K705">
        <v>0</v>
      </c>
    </row>
    <row r="706" spans="1:11">
      <c r="A706">
        <v>96051</v>
      </c>
      <c r="B706" t="s">
        <v>1024</v>
      </c>
      <c r="C706" t="s">
        <v>1027</v>
      </c>
      <c r="E706" t="s">
        <v>491</v>
      </c>
      <c r="F706">
        <v>21</v>
      </c>
      <c r="G706">
        <v>1965</v>
      </c>
      <c r="H706">
        <v>848</v>
      </c>
      <c r="I706">
        <v>0</v>
      </c>
      <c r="J706">
        <v>0</v>
      </c>
      <c r="K706">
        <v>0</v>
      </c>
    </row>
    <row r="707" spans="1:11">
      <c r="A707">
        <v>15036</v>
      </c>
      <c r="B707" t="s">
        <v>1637</v>
      </c>
      <c r="C707" t="s">
        <v>846</v>
      </c>
      <c r="D707" t="s">
        <v>107</v>
      </c>
      <c r="E707" t="s">
        <v>1397</v>
      </c>
      <c r="F707">
        <v>6</v>
      </c>
      <c r="G707">
        <v>1975</v>
      </c>
      <c r="H707">
        <v>675</v>
      </c>
      <c r="I707">
        <v>0.625</v>
      </c>
      <c r="J707">
        <v>20.579000000000001</v>
      </c>
      <c r="K707">
        <v>0</v>
      </c>
    </row>
    <row r="708" spans="1:11">
      <c r="A708">
        <v>12049</v>
      </c>
      <c r="B708" t="s">
        <v>1028</v>
      </c>
      <c r="C708" t="s">
        <v>558</v>
      </c>
      <c r="E708" t="s">
        <v>170</v>
      </c>
      <c r="F708">
        <v>14</v>
      </c>
      <c r="G708">
        <v>1982</v>
      </c>
      <c r="H708">
        <v>184</v>
      </c>
      <c r="I708">
        <v>20.282</v>
      </c>
      <c r="J708">
        <v>1162.085</v>
      </c>
      <c r="K708">
        <v>359</v>
      </c>
    </row>
    <row r="709" spans="1:11">
      <c r="A709">
        <v>16116</v>
      </c>
      <c r="B709" t="s">
        <v>1638</v>
      </c>
      <c r="C709" t="s">
        <v>627</v>
      </c>
      <c r="D709" t="s">
        <v>91</v>
      </c>
      <c r="E709" t="s">
        <v>1287</v>
      </c>
      <c r="F709">
        <v>65</v>
      </c>
      <c r="G709">
        <v>2001</v>
      </c>
      <c r="H709">
        <v>547</v>
      </c>
      <c r="I709">
        <v>1.875</v>
      </c>
      <c r="J709">
        <v>105.18899999999999</v>
      </c>
      <c r="K709">
        <v>29</v>
      </c>
    </row>
    <row r="710" spans="1:11">
      <c r="A710">
        <v>17043</v>
      </c>
      <c r="B710" t="s">
        <v>1638</v>
      </c>
      <c r="C710" t="s">
        <v>758</v>
      </c>
      <c r="D710" t="s">
        <v>91</v>
      </c>
      <c r="E710" t="s">
        <v>1343</v>
      </c>
      <c r="F710">
        <v>79</v>
      </c>
      <c r="G710">
        <v>2007</v>
      </c>
      <c r="H710">
        <v>850</v>
      </c>
      <c r="I710">
        <v>0</v>
      </c>
      <c r="J710">
        <v>0</v>
      </c>
      <c r="K710">
        <v>0</v>
      </c>
    </row>
    <row r="711" spans="1:11">
      <c r="A711">
        <v>16006</v>
      </c>
      <c r="B711" t="s">
        <v>1639</v>
      </c>
      <c r="C711" t="s">
        <v>718</v>
      </c>
      <c r="D711" t="s">
        <v>107</v>
      </c>
      <c r="E711" t="s">
        <v>1343</v>
      </c>
      <c r="F711">
        <v>79</v>
      </c>
      <c r="G711">
        <v>1970</v>
      </c>
      <c r="H711">
        <v>308</v>
      </c>
      <c r="I711">
        <v>7.2050000000000001</v>
      </c>
      <c r="J711">
        <v>545.97900000000004</v>
      </c>
      <c r="K711">
        <v>248</v>
      </c>
    </row>
    <row r="712" spans="1:11">
      <c r="A712">
        <v>14013</v>
      </c>
      <c r="B712" t="s">
        <v>1640</v>
      </c>
      <c r="C712" t="s">
        <v>629</v>
      </c>
      <c r="D712" t="s">
        <v>107</v>
      </c>
      <c r="E712" t="s">
        <v>172</v>
      </c>
      <c r="F712">
        <v>48</v>
      </c>
      <c r="G712">
        <v>1988</v>
      </c>
      <c r="H712">
        <v>851</v>
      </c>
      <c r="I712">
        <v>0</v>
      </c>
      <c r="J712">
        <v>0</v>
      </c>
      <c r="K712">
        <v>0</v>
      </c>
    </row>
    <row r="713" spans="1:11">
      <c r="A713">
        <v>27051</v>
      </c>
      <c r="B713" t="s">
        <v>1029</v>
      </c>
      <c r="C713" t="s">
        <v>539</v>
      </c>
      <c r="D713" t="s">
        <v>107</v>
      </c>
      <c r="E713" t="s">
        <v>501</v>
      </c>
      <c r="F713">
        <v>1</v>
      </c>
      <c r="G713">
        <v>1953</v>
      </c>
      <c r="H713">
        <v>512</v>
      </c>
      <c r="I713">
        <v>4.157</v>
      </c>
      <c r="J713">
        <v>137.26400000000001</v>
      </c>
      <c r="K713">
        <v>0</v>
      </c>
    </row>
    <row r="714" spans="1:11">
      <c r="A714">
        <v>15055</v>
      </c>
      <c r="B714" t="s">
        <v>1030</v>
      </c>
      <c r="C714" t="s">
        <v>531</v>
      </c>
      <c r="D714" t="s">
        <v>91</v>
      </c>
      <c r="E714" t="s">
        <v>501</v>
      </c>
      <c r="F714">
        <v>1</v>
      </c>
      <c r="G714">
        <v>2005</v>
      </c>
      <c r="H714">
        <v>587</v>
      </c>
      <c r="I714">
        <v>2.25</v>
      </c>
      <c r="J714">
        <v>73.861999999999995</v>
      </c>
      <c r="K714">
        <v>0</v>
      </c>
    </row>
    <row r="715" spans="1:11">
      <c r="A715">
        <v>27015</v>
      </c>
      <c r="B715" t="s">
        <v>1030</v>
      </c>
      <c r="C715" t="s">
        <v>532</v>
      </c>
      <c r="E715" t="s">
        <v>501</v>
      </c>
      <c r="F715">
        <v>1</v>
      </c>
      <c r="G715">
        <v>1997</v>
      </c>
      <c r="H715">
        <v>6</v>
      </c>
      <c r="I715">
        <v>52.25</v>
      </c>
      <c r="J715">
        <v>3934.5390000000002</v>
      </c>
      <c r="K715">
        <v>1549</v>
      </c>
    </row>
    <row r="716" spans="1:11">
      <c r="A716">
        <v>28024</v>
      </c>
      <c r="B716" t="s">
        <v>1031</v>
      </c>
      <c r="C716" t="s">
        <v>679</v>
      </c>
      <c r="E716" t="s">
        <v>477</v>
      </c>
      <c r="F716">
        <v>27</v>
      </c>
      <c r="G716">
        <v>1957</v>
      </c>
      <c r="H716">
        <v>385</v>
      </c>
      <c r="I716">
        <v>6.9690000000000003</v>
      </c>
      <c r="J716">
        <v>336.66300000000001</v>
      </c>
      <c r="K716">
        <v>98</v>
      </c>
    </row>
    <row r="717" spans="1:11">
      <c r="A717">
        <v>16053</v>
      </c>
      <c r="B717" t="s">
        <v>1641</v>
      </c>
      <c r="C717" t="s">
        <v>572</v>
      </c>
      <c r="E717" t="s">
        <v>1388</v>
      </c>
      <c r="F717">
        <v>82</v>
      </c>
      <c r="G717">
        <v>1967</v>
      </c>
      <c r="H717">
        <v>367</v>
      </c>
      <c r="I717">
        <v>4.72</v>
      </c>
      <c r="J717">
        <v>360.505</v>
      </c>
      <c r="K717">
        <v>153</v>
      </c>
    </row>
    <row r="718" spans="1:11">
      <c r="A718">
        <v>96095</v>
      </c>
      <c r="B718" t="s">
        <v>1033</v>
      </c>
      <c r="C718" t="s">
        <v>679</v>
      </c>
      <c r="E718" t="s">
        <v>570</v>
      </c>
      <c r="F718">
        <v>16</v>
      </c>
      <c r="G718">
        <v>1968</v>
      </c>
      <c r="H718">
        <v>852</v>
      </c>
      <c r="I718">
        <v>0</v>
      </c>
      <c r="J718">
        <v>0</v>
      </c>
      <c r="K718">
        <v>0</v>
      </c>
    </row>
    <row r="719" spans="1:11">
      <c r="A719">
        <v>14055</v>
      </c>
      <c r="B719" t="s">
        <v>1033</v>
      </c>
      <c r="C719" t="s">
        <v>572</v>
      </c>
      <c r="E719" t="s">
        <v>681</v>
      </c>
      <c r="F719">
        <v>68</v>
      </c>
      <c r="G719">
        <v>1956</v>
      </c>
      <c r="H719">
        <v>290</v>
      </c>
      <c r="I719">
        <v>8.3840000000000003</v>
      </c>
      <c r="J719">
        <v>616.75699999999995</v>
      </c>
      <c r="K719">
        <v>246</v>
      </c>
    </row>
    <row r="720" spans="1:11">
      <c r="A720">
        <v>16117</v>
      </c>
      <c r="B720" t="s">
        <v>1033</v>
      </c>
      <c r="C720" t="s">
        <v>621</v>
      </c>
      <c r="E720" t="s">
        <v>681</v>
      </c>
      <c r="F720">
        <v>68</v>
      </c>
      <c r="G720">
        <v>1955</v>
      </c>
      <c r="H720">
        <v>321</v>
      </c>
      <c r="I720">
        <v>6.298</v>
      </c>
      <c r="J720">
        <v>502.16800000000001</v>
      </c>
      <c r="K720">
        <v>226</v>
      </c>
    </row>
    <row r="721" spans="1:11">
      <c r="A721">
        <v>10092</v>
      </c>
      <c r="B721" t="s">
        <v>1034</v>
      </c>
      <c r="C721" t="s">
        <v>1035</v>
      </c>
      <c r="D721" t="s">
        <v>107</v>
      </c>
      <c r="E721" t="s">
        <v>487</v>
      </c>
      <c r="F721">
        <v>69</v>
      </c>
      <c r="G721">
        <v>1957</v>
      </c>
      <c r="H721">
        <v>693</v>
      </c>
      <c r="I721">
        <v>0.125</v>
      </c>
      <c r="J721">
        <v>3.6549999999999998</v>
      </c>
      <c r="K721">
        <v>0</v>
      </c>
    </row>
    <row r="722" spans="1:11">
      <c r="A722">
        <v>11051</v>
      </c>
      <c r="B722" t="s">
        <v>1036</v>
      </c>
      <c r="C722" t="s">
        <v>589</v>
      </c>
      <c r="E722" t="s">
        <v>155</v>
      </c>
      <c r="F722">
        <v>22</v>
      </c>
      <c r="G722">
        <v>1970</v>
      </c>
      <c r="H722">
        <v>225</v>
      </c>
      <c r="I722">
        <v>12.000999999999999</v>
      </c>
      <c r="J722">
        <v>894.46799999999996</v>
      </c>
      <c r="K722">
        <v>408</v>
      </c>
    </row>
    <row r="723" spans="1:11">
      <c r="A723">
        <v>96024</v>
      </c>
      <c r="B723" t="s">
        <v>1037</v>
      </c>
      <c r="C723" t="s">
        <v>572</v>
      </c>
      <c r="E723" t="s">
        <v>743</v>
      </c>
      <c r="F723">
        <v>10</v>
      </c>
      <c r="G723">
        <v>1963</v>
      </c>
      <c r="H723">
        <v>412</v>
      </c>
      <c r="I723">
        <v>6.2809999999999997</v>
      </c>
      <c r="J723">
        <v>284.66199999999998</v>
      </c>
      <c r="K723">
        <v>39</v>
      </c>
    </row>
    <row r="724" spans="1:11">
      <c r="A724">
        <v>96152</v>
      </c>
      <c r="B724" t="s">
        <v>1037</v>
      </c>
      <c r="C724" t="s">
        <v>553</v>
      </c>
      <c r="E724" t="s">
        <v>743</v>
      </c>
      <c r="F724">
        <v>10</v>
      </c>
      <c r="G724">
        <v>1987</v>
      </c>
      <c r="H724">
        <v>286</v>
      </c>
      <c r="I724">
        <v>14.688000000000001</v>
      </c>
      <c r="J724">
        <v>630.005</v>
      </c>
      <c r="K724">
        <v>96</v>
      </c>
    </row>
    <row r="725" spans="1:11">
      <c r="A725">
        <v>96151</v>
      </c>
      <c r="B725" t="s">
        <v>1038</v>
      </c>
      <c r="C725" t="s">
        <v>707</v>
      </c>
      <c r="D725" t="s">
        <v>107</v>
      </c>
      <c r="E725" t="s">
        <v>743</v>
      </c>
      <c r="F725">
        <v>10</v>
      </c>
      <c r="G725">
        <v>1989</v>
      </c>
      <c r="H725">
        <v>853</v>
      </c>
      <c r="I725">
        <v>0</v>
      </c>
      <c r="J725">
        <v>0</v>
      </c>
      <c r="K725">
        <v>0</v>
      </c>
    </row>
    <row r="726" spans="1:11">
      <c r="A726">
        <v>96025</v>
      </c>
      <c r="B726" t="s">
        <v>1038</v>
      </c>
      <c r="C726" t="s">
        <v>645</v>
      </c>
      <c r="D726" t="s">
        <v>107</v>
      </c>
      <c r="E726" t="s">
        <v>743</v>
      </c>
      <c r="F726">
        <v>10</v>
      </c>
      <c r="G726">
        <v>1965</v>
      </c>
      <c r="H726">
        <v>569</v>
      </c>
      <c r="I726">
        <v>2.7810000000000001</v>
      </c>
      <c r="J726">
        <v>89.33</v>
      </c>
      <c r="K726">
        <v>15</v>
      </c>
    </row>
    <row r="727" spans="1:11">
      <c r="A727">
        <v>16132</v>
      </c>
      <c r="B727" t="s">
        <v>1642</v>
      </c>
      <c r="C727" t="s">
        <v>1255</v>
      </c>
      <c r="D727" t="s">
        <v>655</v>
      </c>
      <c r="E727" t="s">
        <v>1197</v>
      </c>
      <c r="F727">
        <v>2</v>
      </c>
      <c r="G727">
        <v>2008</v>
      </c>
      <c r="H727">
        <v>854</v>
      </c>
      <c r="I727">
        <v>0</v>
      </c>
      <c r="J727">
        <v>0</v>
      </c>
      <c r="K727">
        <v>0</v>
      </c>
    </row>
    <row r="728" spans="1:11">
      <c r="A728">
        <v>16133</v>
      </c>
      <c r="B728" t="s">
        <v>1642</v>
      </c>
      <c r="C728" t="s">
        <v>1643</v>
      </c>
      <c r="D728" t="s">
        <v>655</v>
      </c>
      <c r="E728" t="s">
        <v>1197</v>
      </c>
      <c r="F728">
        <v>2</v>
      </c>
      <c r="G728">
        <v>2005</v>
      </c>
      <c r="H728">
        <v>855</v>
      </c>
      <c r="I728">
        <v>0</v>
      </c>
      <c r="J728">
        <v>0</v>
      </c>
      <c r="K728">
        <v>0</v>
      </c>
    </row>
    <row r="729" spans="1:11">
      <c r="A729">
        <v>96129</v>
      </c>
      <c r="B729" t="s">
        <v>1039</v>
      </c>
      <c r="C729" t="s">
        <v>641</v>
      </c>
      <c r="E729" t="s">
        <v>484</v>
      </c>
      <c r="F729">
        <v>7</v>
      </c>
      <c r="G729">
        <v>1971</v>
      </c>
      <c r="H729">
        <v>856</v>
      </c>
      <c r="I729">
        <v>0</v>
      </c>
      <c r="J729">
        <v>0</v>
      </c>
      <c r="K729">
        <v>0</v>
      </c>
    </row>
    <row r="730" spans="1:11">
      <c r="A730">
        <v>15054</v>
      </c>
      <c r="B730" t="s">
        <v>1040</v>
      </c>
      <c r="C730" t="s">
        <v>979</v>
      </c>
      <c r="D730" t="s">
        <v>91</v>
      </c>
      <c r="E730" t="s">
        <v>501</v>
      </c>
      <c r="F730">
        <v>1</v>
      </c>
      <c r="G730">
        <v>2005</v>
      </c>
      <c r="H730">
        <v>857</v>
      </c>
      <c r="I730">
        <v>0</v>
      </c>
      <c r="J730">
        <v>0</v>
      </c>
      <c r="K730">
        <v>0</v>
      </c>
    </row>
    <row r="731" spans="1:11">
      <c r="A731">
        <v>28047</v>
      </c>
      <c r="B731" t="s">
        <v>1040</v>
      </c>
      <c r="C731" t="s">
        <v>1041</v>
      </c>
      <c r="E731" t="s">
        <v>472</v>
      </c>
      <c r="F731">
        <v>54</v>
      </c>
      <c r="G731">
        <v>1962</v>
      </c>
      <c r="H731">
        <v>179</v>
      </c>
      <c r="I731">
        <v>17.532</v>
      </c>
      <c r="J731">
        <v>1187.2280000000001</v>
      </c>
      <c r="K731">
        <v>421</v>
      </c>
    </row>
    <row r="732" spans="1:11">
      <c r="A732">
        <v>17080</v>
      </c>
      <c r="B732" t="s">
        <v>1644</v>
      </c>
      <c r="C732" t="s">
        <v>531</v>
      </c>
      <c r="D732" t="s">
        <v>91</v>
      </c>
      <c r="E732" t="s">
        <v>576</v>
      </c>
      <c r="F732">
        <v>73</v>
      </c>
      <c r="G732">
        <v>2002</v>
      </c>
      <c r="H732">
        <v>858</v>
      </c>
      <c r="I732">
        <v>0</v>
      </c>
      <c r="J732">
        <v>0</v>
      </c>
      <c r="K732">
        <v>0</v>
      </c>
    </row>
    <row r="733" spans="1:11">
      <c r="A733">
        <v>29023</v>
      </c>
      <c r="B733" t="s">
        <v>1042</v>
      </c>
      <c r="C733" t="s">
        <v>552</v>
      </c>
      <c r="E733" t="s">
        <v>1167</v>
      </c>
      <c r="F733">
        <v>56</v>
      </c>
      <c r="G733">
        <v>1947</v>
      </c>
      <c r="H733">
        <v>234</v>
      </c>
      <c r="I733">
        <v>14.968999999999999</v>
      </c>
      <c r="J733">
        <v>869.53800000000001</v>
      </c>
      <c r="K733">
        <v>333</v>
      </c>
    </row>
    <row r="734" spans="1:11">
      <c r="A734">
        <v>11013</v>
      </c>
      <c r="B734" t="s">
        <v>1043</v>
      </c>
      <c r="C734" t="s">
        <v>555</v>
      </c>
      <c r="D734" t="s">
        <v>107</v>
      </c>
      <c r="E734" t="s">
        <v>1167</v>
      </c>
      <c r="F734">
        <v>56</v>
      </c>
      <c r="G734">
        <v>1948</v>
      </c>
      <c r="H734">
        <v>247</v>
      </c>
      <c r="I734">
        <v>13.311999999999999</v>
      </c>
      <c r="J734">
        <v>778.73900000000003</v>
      </c>
      <c r="K734">
        <v>287</v>
      </c>
    </row>
    <row r="735" spans="1:11">
      <c r="A735">
        <v>12064</v>
      </c>
      <c r="B735" t="s">
        <v>1044</v>
      </c>
      <c r="C735" t="s">
        <v>589</v>
      </c>
      <c r="E735" t="s">
        <v>1205</v>
      </c>
      <c r="F735">
        <v>74</v>
      </c>
      <c r="G735">
        <v>1981</v>
      </c>
      <c r="H735">
        <v>278</v>
      </c>
      <c r="I735">
        <v>15.781000000000001</v>
      </c>
      <c r="J735">
        <v>659.61800000000005</v>
      </c>
      <c r="K735">
        <v>136</v>
      </c>
    </row>
    <row r="736" spans="1:11">
      <c r="A736">
        <v>22990</v>
      </c>
      <c r="B736" t="s">
        <v>1044</v>
      </c>
      <c r="C736" t="s">
        <v>641</v>
      </c>
      <c r="E736" t="s">
        <v>550</v>
      </c>
      <c r="F736">
        <v>29</v>
      </c>
      <c r="G736">
        <v>1967</v>
      </c>
      <c r="H736">
        <v>332</v>
      </c>
      <c r="I736">
        <v>9.9700000000000006</v>
      </c>
      <c r="J736">
        <v>459.20699999999999</v>
      </c>
      <c r="K736">
        <v>119</v>
      </c>
    </row>
    <row r="737" spans="1:11">
      <c r="A737">
        <v>28055</v>
      </c>
      <c r="B737" t="s">
        <v>1045</v>
      </c>
      <c r="C737" t="s">
        <v>846</v>
      </c>
      <c r="D737" t="s">
        <v>107</v>
      </c>
      <c r="E737" t="s">
        <v>1167</v>
      </c>
      <c r="F737">
        <v>56</v>
      </c>
      <c r="G737">
        <v>1970</v>
      </c>
      <c r="H737">
        <v>25</v>
      </c>
      <c r="I737">
        <v>36</v>
      </c>
      <c r="J737">
        <v>3036.0749999999998</v>
      </c>
      <c r="K737">
        <v>1506</v>
      </c>
    </row>
    <row r="738" spans="1:11">
      <c r="A738">
        <v>27052</v>
      </c>
      <c r="B738" t="s">
        <v>1045</v>
      </c>
      <c r="C738" t="s">
        <v>546</v>
      </c>
      <c r="D738" t="s">
        <v>107</v>
      </c>
      <c r="E738" t="s">
        <v>200</v>
      </c>
      <c r="F738">
        <v>19</v>
      </c>
      <c r="G738">
        <v>1955</v>
      </c>
      <c r="H738">
        <v>359</v>
      </c>
      <c r="I738">
        <v>5.891</v>
      </c>
      <c r="J738">
        <v>379.90199999999999</v>
      </c>
      <c r="K738">
        <v>156</v>
      </c>
    </row>
    <row r="739" spans="1:11">
      <c r="A739">
        <v>10093</v>
      </c>
      <c r="B739" t="s">
        <v>1046</v>
      </c>
      <c r="C739" t="s">
        <v>700</v>
      </c>
      <c r="E739" t="s">
        <v>487</v>
      </c>
      <c r="F739">
        <v>69</v>
      </c>
      <c r="G739">
        <v>1947</v>
      </c>
      <c r="H739">
        <v>330</v>
      </c>
      <c r="I739">
        <v>6.048</v>
      </c>
      <c r="J739">
        <v>460.63099999999997</v>
      </c>
      <c r="K739">
        <v>214</v>
      </c>
    </row>
    <row r="740" spans="1:11">
      <c r="A740">
        <v>16095</v>
      </c>
      <c r="B740" t="s">
        <v>1645</v>
      </c>
      <c r="C740" t="s">
        <v>579</v>
      </c>
      <c r="D740" t="s">
        <v>107</v>
      </c>
      <c r="E740" t="s">
        <v>1419</v>
      </c>
      <c r="F740">
        <v>84</v>
      </c>
      <c r="G740">
        <v>1944</v>
      </c>
      <c r="H740">
        <v>381</v>
      </c>
      <c r="I740">
        <v>7.2050000000000001</v>
      </c>
      <c r="J740">
        <v>339.28100000000001</v>
      </c>
      <c r="K740">
        <v>35</v>
      </c>
    </row>
    <row r="741" spans="1:11">
      <c r="A741">
        <v>96042</v>
      </c>
      <c r="B741" t="s">
        <v>1047</v>
      </c>
      <c r="C741" t="s">
        <v>539</v>
      </c>
      <c r="D741" t="s">
        <v>107</v>
      </c>
      <c r="E741" t="s">
        <v>501</v>
      </c>
      <c r="F741">
        <v>1</v>
      </c>
      <c r="G741">
        <v>1963</v>
      </c>
      <c r="H741">
        <v>859</v>
      </c>
      <c r="I741">
        <v>0</v>
      </c>
      <c r="J741">
        <v>0</v>
      </c>
      <c r="K741">
        <v>0</v>
      </c>
    </row>
    <row r="742" spans="1:11">
      <c r="A742">
        <v>17065</v>
      </c>
      <c r="B742" t="s">
        <v>1646</v>
      </c>
      <c r="C742" t="s">
        <v>1647</v>
      </c>
      <c r="D742" t="s">
        <v>91</v>
      </c>
      <c r="E742" t="s">
        <v>1388</v>
      </c>
      <c r="F742">
        <v>82</v>
      </c>
      <c r="G742">
        <v>2004</v>
      </c>
      <c r="H742">
        <v>684</v>
      </c>
      <c r="I742">
        <v>0.65600000000000003</v>
      </c>
      <c r="J742">
        <v>16.643999999999998</v>
      </c>
      <c r="K742">
        <v>0</v>
      </c>
    </row>
    <row r="743" spans="1:11">
      <c r="A743">
        <v>21756</v>
      </c>
      <c r="B743" t="s">
        <v>1648</v>
      </c>
      <c r="C743" t="s">
        <v>629</v>
      </c>
      <c r="D743" t="s">
        <v>107</v>
      </c>
      <c r="E743" t="s">
        <v>496</v>
      </c>
      <c r="F743">
        <v>31</v>
      </c>
      <c r="G743">
        <v>1985</v>
      </c>
      <c r="H743">
        <v>860</v>
      </c>
      <c r="I743">
        <v>0</v>
      </c>
      <c r="J743">
        <v>0</v>
      </c>
      <c r="K743">
        <v>0</v>
      </c>
    </row>
    <row r="744" spans="1:11">
      <c r="A744">
        <v>17045</v>
      </c>
      <c r="B744" t="s">
        <v>1649</v>
      </c>
      <c r="C744" t="s">
        <v>976</v>
      </c>
      <c r="D744" t="s">
        <v>655</v>
      </c>
      <c r="E744" t="s">
        <v>497</v>
      </c>
      <c r="F744">
        <v>51</v>
      </c>
      <c r="G744">
        <v>2007</v>
      </c>
      <c r="H744">
        <v>861</v>
      </c>
      <c r="I744">
        <v>0</v>
      </c>
      <c r="J744">
        <v>0</v>
      </c>
      <c r="K744">
        <v>0</v>
      </c>
    </row>
    <row r="745" spans="1:11">
      <c r="A745">
        <v>28004</v>
      </c>
      <c r="B745" t="s">
        <v>1048</v>
      </c>
      <c r="C745" t="s">
        <v>572</v>
      </c>
      <c r="E745" t="s">
        <v>1167</v>
      </c>
      <c r="F745">
        <v>56</v>
      </c>
      <c r="G745">
        <v>1978</v>
      </c>
      <c r="H745">
        <v>67</v>
      </c>
      <c r="I745">
        <v>27.564</v>
      </c>
      <c r="J745">
        <v>2219.98</v>
      </c>
      <c r="K745">
        <v>1061</v>
      </c>
    </row>
    <row r="746" spans="1:11">
      <c r="A746">
        <v>16026</v>
      </c>
      <c r="B746" t="s">
        <v>1650</v>
      </c>
      <c r="C746" t="s">
        <v>627</v>
      </c>
      <c r="E746" t="s">
        <v>550</v>
      </c>
      <c r="F746">
        <v>29</v>
      </c>
      <c r="G746">
        <v>1992</v>
      </c>
      <c r="H746">
        <v>541</v>
      </c>
      <c r="I746">
        <v>2.5009999999999999</v>
      </c>
      <c r="J746">
        <v>110.374</v>
      </c>
      <c r="K746">
        <v>15</v>
      </c>
    </row>
    <row r="747" spans="1:11">
      <c r="A747">
        <v>16027</v>
      </c>
      <c r="B747" t="s">
        <v>1049</v>
      </c>
      <c r="C747" t="s">
        <v>614</v>
      </c>
      <c r="D747" t="s">
        <v>107</v>
      </c>
      <c r="E747" t="s">
        <v>550</v>
      </c>
      <c r="F747">
        <v>29</v>
      </c>
      <c r="G747">
        <v>1972</v>
      </c>
      <c r="H747">
        <v>408</v>
      </c>
      <c r="I747">
        <v>6.548</v>
      </c>
      <c r="J747">
        <v>287.65100000000001</v>
      </c>
      <c r="K747">
        <v>43</v>
      </c>
    </row>
    <row r="748" spans="1:11">
      <c r="A748">
        <v>12017</v>
      </c>
      <c r="B748" t="s">
        <v>1049</v>
      </c>
      <c r="C748" t="s">
        <v>695</v>
      </c>
      <c r="D748" t="s">
        <v>107</v>
      </c>
      <c r="E748" t="s">
        <v>497</v>
      </c>
      <c r="F748">
        <v>51</v>
      </c>
      <c r="G748">
        <v>1968</v>
      </c>
      <c r="H748">
        <v>77</v>
      </c>
      <c r="I748">
        <v>33.813000000000002</v>
      </c>
      <c r="J748">
        <v>2132.7750000000001</v>
      </c>
      <c r="K748">
        <v>817</v>
      </c>
    </row>
    <row r="749" spans="1:11">
      <c r="A749">
        <v>10135</v>
      </c>
      <c r="B749" t="s">
        <v>1050</v>
      </c>
      <c r="C749" t="s">
        <v>572</v>
      </c>
      <c r="E749" t="s">
        <v>501</v>
      </c>
      <c r="F749">
        <v>1</v>
      </c>
      <c r="G749">
        <v>1945</v>
      </c>
      <c r="H749">
        <v>862</v>
      </c>
      <c r="I749">
        <v>0</v>
      </c>
      <c r="J749">
        <v>0</v>
      </c>
      <c r="K749">
        <v>0</v>
      </c>
    </row>
    <row r="750" spans="1:11">
      <c r="A750">
        <v>14062</v>
      </c>
      <c r="B750" t="s">
        <v>1651</v>
      </c>
      <c r="C750" t="s">
        <v>621</v>
      </c>
      <c r="E750" t="s">
        <v>1202</v>
      </c>
      <c r="F750">
        <v>76</v>
      </c>
      <c r="G750">
        <v>1948</v>
      </c>
      <c r="H750">
        <v>863</v>
      </c>
      <c r="I750">
        <v>0</v>
      </c>
      <c r="J750">
        <v>0</v>
      </c>
      <c r="K750">
        <v>0</v>
      </c>
    </row>
    <row r="751" spans="1:11">
      <c r="A751">
        <v>17077</v>
      </c>
      <c r="B751" t="s">
        <v>1652</v>
      </c>
      <c r="C751" t="s">
        <v>825</v>
      </c>
      <c r="D751" t="s">
        <v>107</v>
      </c>
      <c r="E751" t="s">
        <v>172</v>
      </c>
      <c r="F751">
        <v>48</v>
      </c>
      <c r="G751">
        <v>1999</v>
      </c>
      <c r="H751">
        <v>680</v>
      </c>
      <c r="I751">
        <v>0.375</v>
      </c>
      <c r="J751">
        <v>17.544</v>
      </c>
      <c r="K751">
        <v>0</v>
      </c>
    </row>
    <row r="752" spans="1:11">
      <c r="A752">
        <v>12046</v>
      </c>
      <c r="B752" t="s">
        <v>1051</v>
      </c>
      <c r="C752" t="s">
        <v>543</v>
      </c>
      <c r="E752" t="s">
        <v>491</v>
      </c>
      <c r="F752">
        <v>21</v>
      </c>
      <c r="G752">
        <v>1991</v>
      </c>
      <c r="H752">
        <v>603</v>
      </c>
      <c r="I752">
        <v>3</v>
      </c>
      <c r="J752">
        <v>66.018000000000001</v>
      </c>
      <c r="K752">
        <v>0</v>
      </c>
    </row>
    <row r="753" spans="1:11">
      <c r="A753">
        <v>16114</v>
      </c>
      <c r="B753" t="s">
        <v>1051</v>
      </c>
      <c r="C753" t="s">
        <v>552</v>
      </c>
      <c r="E753" t="s">
        <v>491</v>
      </c>
      <c r="F753">
        <v>21</v>
      </c>
      <c r="G753">
        <v>1954</v>
      </c>
      <c r="H753">
        <v>601</v>
      </c>
      <c r="I753">
        <v>2.5</v>
      </c>
      <c r="J753">
        <v>66.67</v>
      </c>
      <c r="K753">
        <v>0</v>
      </c>
    </row>
    <row r="754" spans="1:11">
      <c r="A754">
        <v>28010</v>
      </c>
      <c r="B754" t="s">
        <v>1052</v>
      </c>
      <c r="C754" t="s">
        <v>572</v>
      </c>
      <c r="E754" t="s">
        <v>501</v>
      </c>
      <c r="F754">
        <v>1</v>
      </c>
      <c r="G754">
        <v>1969</v>
      </c>
      <c r="H754">
        <v>254</v>
      </c>
      <c r="I754">
        <v>11.625</v>
      </c>
      <c r="J754">
        <v>732.83199999999999</v>
      </c>
      <c r="K754">
        <v>275</v>
      </c>
    </row>
    <row r="755" spans="1:11">
      <c r="A755">
        <v>23046</v>
      </c>
      <c r="B755" t="s">
        <v>1053</v>
      </c>
      <c r="C755" t="s">
        <v>552</v>
      </c>
      <c r="E755" t="s">
        <v>1195</v>
      </c>
      <c r="F755">
        <v>44</v>
      </c>
      <c r="G755">
        <v>1966</v>
      </c>
      <c r="H755">
        <v>864</v>
      </c>
      <c r="I755">
        <v>0</v>
      </c>
      <c r="J755">
        <v>0</v>
      </c>
      <c r="K755">
        <v>0</v>
      </c>
    </row>
    <row r="756" spans="1:11">
      <c r="A756">
        <v>17014</v>
      </c>
      <c r="B756" t="s">
        <v>1653</v>
      </c>
      <c r="C756" t="s">
        <v>844</v>
      </c>
      <c r="E756" t="s">
        <v>576</v>
      </c>
      <c r="F756">
        <v>73</v>
      </c>
      <c r="G756">
        <v>1963</v>
      </c>
      <c r="H756">
        <v>865</v>
      </c>
      <c r="I756">
        <v>0</v>
      </c>
      <c r="J756">
        <v>0</v>
      </c>
      <c r="K756">
        <v>0</v>
      </c>
    </row>
    <row r="757" spans="1:11">
      <c r="A757">
        <v>99551</v>
      </c>
      <c r="B757" t="s">
        <v>1054</v>
      </c>
      <c r="C757" t="s">
        <v>564</v>
      </c>
      <c r="E757" t="s">
        <v>470</v>
      </c>
      <c r="F757">
        <v>20</v>
      </c>
      <c r="G757">
        <v>1954</v>
      </c>
      <c r="H757">
        <v>395</v>
      </c>
      <c r="I757">
        <v>4.282</v>
      </c>
      <c r="J757">
        <v>316.64</v>
      </c>
      <c r="K757">
        <v>124</v>
      </c>
    </row>
    <row r="758" spans="1:11">
      <c r="A758">
        <v>28002</v>
      </c>
      <c r="B758" t="s">
        <v>1654</v>
      </c>
      <c r="C758" t="s">
        <v>564</v>
      </c>
      <c r="E758" t="s">
        <v>470</v>
      </c>
      <c r="F758">
        <v>20</v>
      </c>
      <c r="G758">
        <v>1996</v>
      </c>
      <c r="H758">
        <v>460</v>
      </c>
      <c r="I758">
        <v>1.4059999999999999</v>
      </c>
      <c r="J758">
        <v>201.34399999999999</v>
      </c>
      <c r="K758">
        <v>124</v>
      </c>
    </row>
    <row r="759" spans="1:11">
      <c r="A759">
        <v>29054</v>
      </c>
      <c r="B759" t="s">
        <v>1055</v>
      </c>
      <c r="C759" t="s">
        <v>535</v>
      </c>
      <c r="E759" t="s">
        <v>495</v>
      </c>
      <c r="F759">
        <v>64</v>
      </c>
      <c r="G759">
        <v>1971</v>
      </c>
      <c r="H759">
        <v>474</v>
      </c>
      <c r="I759">
        <v>4.5309999999999997</v>
      </c>
      <c r="J759">
        <v>188.56800000000001</v>
      </c>
      <c r="K759">
        <v>0</v>
      </c>
    </row>
    <row r="760" spans="1:11">
      <c r="A760">
        <v>11022</v>
      </c>
      <c r="B760" t="s">
        <v>1056</v>
      </c>
      <c r="C760" t="s">
        <v>909</v>
      </c>
      <c r="E760" t="s">
        <v>216</v>
      </c>
      <c r="F760">
        <v>33</v>
      </c>
      <c r="G760">
        <v>1972</v>
      </c>
      <c r="H760">
        <v>374</v>
      </c>
      <c r="I760">
        <v>8.5</v>
      </c>
      <c r="J760">
        <v>351.07100000000003</v>
      </c>
      <c r="K760">
        <v>38</v>
      </c>
    </row>
    <row r="761" spans="1:11">
      <c r="A761">
        <v>15001</v>
      </c>
      <c r="B761" t="s">
        <v>1655</v>
      </c>
      <c r="C761" t="s">
        <v>564</v>
      </c>
      <c r="E761" t="s">
        <v>161</v>
      </c>
      <c r="F761">
        <v>30</v>
      </c>
      <c r="G761">
        <v>1961</v>
      </c>
      <c r="H761">
        <v>157</v>
      </c>
      <c r="I761">
        <v>27.062999999999999</v>
      </c>
      <c r="J761">
        <v>1358.0730000000001</v>
      </c>
      <c r="K761">
        <v>375</v>
      </c>
    </row>
    <row r="762" spans="1:11">
      <c r="A762">
        <v>98304</v>
      </c>
      <c r="B762" t="s">
        <v>1057</v>
      </c>
      <c r="C762" t="s">
        <v>1058</v>
      </c>
      <c r="D762" t="s">
        <v>107</v>
      </c>
      <c r="E762" t="s">
        <v>1197</v>
      </c>
      <c r="F762">
        <v>2</v>
      </c>
      <c r="G762">
        <v>1960</v>
      </c>
      <c r="H762">
        <v>276</v>
      </c>
      <c r="I762">
        <v>12.22</v>
      </c>
      <c r="J762">
        <v>668.745</v>
      </c>
      <c r="K762">
        <v>200</v>
      </c>
    </row>
    <row r="763" spans="1:11">
      <c r="A763">
        <v>99602</v>
      </c>
      <c r="B763" t="s">
        <v>1059</v>
      </c>
      <c r="C763" t="s">
        <v>1032</v>
      </c>
      <c r="D763" t="s">
        <v>107</v>
      </c>
      <c r="E763" t="s">
        <v>1197</v>
      </c>
      <c r="F763">
        <v>2</v>
      </c>
      <c r="G763">
        <v>1962</v>
      </c>
      <c r="H763">
        <v>866</v>
      </c>
      <c r="I763">
        <v>0</v>
      </c>
      <c r="J763">
        <v>0</v>
      </c>
      <c r="K763">
        <v>0</v>
      </c>
    </row>
    <row r="764" spans="1:11">
      <c r="A764">
        <v>14005</v>
      </c>
      <c r="B764" t="s">
        <v>1656</v>
      </c>
      <c r="C764" t="s">
        <v>543</v>
      </c>
      <c r="E764" t="s">
        <v>681</v>
      </c>
      <c r="F764">
        <v>68</v>
      </c>
      <c r="G764">
        <v>1988</v>
      </c>
      <c r="H764">
        <v>564</v>
      </c>
      <c r="I764">
        <v>2.4380000000000002</v>
      </c>
      <c r="J764">
        <v>91.561000000000007</v>
      </c>
      <c r="K764">
        <v>0</v>
      </c>
    </row>
    <row r="765" spans="1:11">
      <c r="A765">
        <v>13063</v>
      </c>
      <c r="B765" t="s">
        <v>1249</v>
      </c>
      <c r="C765" t="s">
        <v>555</v>
      </c>
      <c r="D765" t="s">
        <v>107</v>
      </c>
      <c r="E765" t="s">
        <v>501</v>
      </c>
      <c r="F765">
        <v>1</v>
      </c>
      <c r="G765">
        <v>1953</v>
      </c>
      <c r="H765">
        <v>627</v>
      </c>
      <c r="I765">
        <v>1.8129999999999999</v>
      </c>
      <c r="J765">
        <v>48.335999999999999</v>
      </c>
      <c r="K765">
        <v>0</v>
      </c>
    </row>
    <row r="766" spans="1:11">
      <c r="A766">
        <v>26034</v>
      </c>
      <c r="B766" t="s">
        <v>1060</v>
      </c>
      <c r="C766" t="s">
        <v>788</v>
      </c>
      <c r="E766" t="s">
        <v>475</v>
      </c>
      <c r="F766">
        <v>63</v>
      </c>
      <c r="G766">
        <v>1954</v>
      </c>
      <c r="H766">
        <v>98</v>
      </c>
      <c r="I766">
        <v>28.187999999999999</v>
      </c>
      <c r="J766">
        <v>1908.768</v>
      </c>
      <c r="K766">
        <v>878</v>
      </c>
    </row>
    <row r="767" spans="1:11">
      <c r="A767">
        <v>12043</v>
      </c>
      <c r="B767" t="s">
        <v>1061</v>
      </c>
      <c r="C767" t="s">
        <v>761</v>
      </c>
      <c r="D767" t="s">
        <v>107</v>
      </c>
      <c r="E767" t="s">
        <v>172</v>
      </c>
      <c r="F767">
        <v>48</v>
      </c>
      <c r="G767">
        <v>1966</v>
      </c>
      <c r="H767">
        <v>583</v>
      </c>
      <c r="I767">
        <v>1.5629999999999999</v>
      </c>
      <c r="J767">
        <v>77.111000000000004</v>
      </c>
      <c r="K767">
        <v>29</v>
      </c>
    </row>
    <row r="768" spans="1:11">
      <c r="A768">
        <v>21754</v>
      </c>
      <c r="B768" t="s">
        <v>1062</v>
      </c>
      <c r="C768" t="s">
        <v>589</v>
      </c>
      <c r="E768" t="s">
        <v>1203</v>
      </c>
      <c r="F768">
        <v>55</v>
      </c>
      <c r="G768">
        <v>1976</v>
      </c>
      <c r="H768">
        <v>78</v>
      </c>
      <c r="I768">
        <v>30.844000000000001</v>
      </c>
      <c r="J768">
        <v>2110.2750000000001</v>
      </c>
      <c r="K768">
        <v>928</v>
      </c>
    </row>
    <row r="769" spans="1:11">
      <c r="A769">
        <v>21755</v>
      </c>
      <c r="B769" t="s">
        <v>1062</v>
      </c>
      <c r="C769" t="s">
        <v>541</v>
      </c>
      <c r="E769" t="s">
        <v>496</v>
      </c>
      <c r="F769">
        <v>31</v>
      </c>
      <c r="G769">
        <v>1981</v>
      </c>
      <c r="H769">
        <v>195</v>
      </c>
      <c r="I769">
        <v>11.625</v>
      </c>
      <c r="J769">
        <v>1102.664</v>
      </c>
      <c r="K769">
        <v>548</v>
      </c>
    </row>
    <row r="770" spans="1:11">
      <c r="A770">
        <v>21752</v>
      </c>
      <c r="B770" t="s">
        <v>1062</v>
      </c>
      <c r="C770" t="s">
        <v>535</v>
      </c>
      <c r="E770" t="s">
        <v>496</v>
      </c>
      <c r="F770">
        <v>31</v>
      </c>
      <c r="G770">
        <v>1956</v>
      </c>
      <c r="H770">
        <v>338</v>
      </c>
      <c r="I770">
        <v>4.25</v>
      </c>
      <c r="J770">
        <v>436.37099999999998</v>
      </c>
      <c r="K770">
        <v>233</v>
      </c>
    </row>
    <row r="771" spans="1:11">
      <c r="A771">
        <v>21837</v>
      </c>
      <c r="B771" t="s">
        <v>1063</v>
      </c>
      <c r="C771" t="s">
        <v>777</v>
      </c>
      <c r="D771" t="s">
        <v>107</v>
      </c>
      <c r="E771" t="s">
        <v>496</v>
      </c>
      <c r="F771">
        <v>31</v>
      </c>
      <c r="G771">
        <v>1982</v>
      </c>
      <c r="H771">
        <v>868</v>
      </c>
      <c r="I771">
        <v>0</v>
      </c>
      <c r="J771">
        <v>0</v>
      </c>
      <c r="K771">
        <v>0</v>
      </c>
    </row>
    <row r="772" spans="1:11">
      <c r="A772">
        <v>21753</v>
      </c>
      <c r="B772" t="s">
        <v>1063</v>
      </c>
      <c r="C772" t="s">
        <v>898</v>
      </c>
      <c r="D772" t="s">
        <v>107</v>
      </c>
      <c r="E772" t="s">
        <v>496</v>
      </c>
      <c r="F772">
        <v>31</v>
      </c>
      <c r="G772">
        <v>1957</v>
      </c>
      <c r="H772">
        <v>867</v>
      </c>
      <c r="I772">
        <v>0</v>
      </c>
      <c r="J772">
        <v>0</v>
      </c>
      <c r="K772">
        <v>0</v>
      </c>
    </row>
    <row r="773" spans="1:11">
      <c r="A773">
        <v>96026</v>
      </c>
      <c r="B773" t="s">
        <v>1064</v>
      </c>
      <c r="C773" t="s">
        <v>564</v>
      </c>
      <c r="E773" t="s">
        <v>743</v>
      </c>
      <c r="F773">
        <v>10</v>
      </c>
      <c r="G773">
        <v>1960</v>
      </c>
      <c r="H773">
        <v>869</v>
      </c>
      <c r="I773">
        <v>0</v>
      </c>
      <c r="J773">
        <v>0</v>
      </c>
      <c r="K773">
        <v>0</v>
      </c>
    </row>
    <row r="774" spans="1:11">
      <c r="A774">
        <v>96027</v>
      </c>
      <c r="B774" t="s">
        <v>1065</v>
      </c>
      <c r="C774" t="s">
        <v>629</v>
      </c>
      <c r="D774" t="s">
        <v>107</v>
      </c>
      <c r="E774" t="s">
        <v>743</v>
      </c>
      <c r="F774">
        <v>10</v>
      </c>
      <c r="G774">
        <v>1961</v>
      </c>
      <c r="H774">
        <v>870</v>
      </c>
      <c r="I774">
        <v>0</v>
      </c>
      <c r="J774">
        <v>0</v>
      </c>
      <c r="K774">
        <v>0</v>
      </c>
    </row>
    <row r="775" spans="1:11">
      <c r="A775">
        <v>10048</v>
      </c>
      <c r="B775" t="s">
        <v>1066</v>
      </c>
      <c r="C775" t="s">
        <v>621</v>
      </c>
      <c r="E775" t="s">
        <v>475</v>
      </c>
      <c r="F775">
        <v>63</v>
      </c>
      <c r="G775">
        <v>1996</v>
      </c>
      <c r="H775">
        <v>42</v>
      </c>
      <c r="I775">
        <v>46</v>
      </c>
      <c r="J775">
        <v>2720.4209999999998</v>
      </c>
      <c r="K775">
        <v>1136</v>
      </c>
    </row>
    <row r="776" spans="1:11">
      <c r="A776">
        <v>16140</v>
      </c>
      <c r="B776" t="s">
        <v>1657</v>
      </c>
      <c r="C776" t="s">
        <v>1658</v>
      </c>
      <c r="E776" t="s">
        <v>501</v>
      </c>
      <c r="F776">
        <v>1</v>
      </c>
      <c r="G776">
        <v>1951</v>
      </c>
      <c r="H776">
        <v>871</v>
      </c>
      <c r="I776">
        <v>0</v>
      </c>
      <c r="J776">
        <v>0</v>
      </c>
      <c r="K776">
        <v>0</v>
      </c>
    </row>
    <row r="777" spans="1:11">
      <c r="A777">
        <v>24320</v>
      </c>
      <c r="B777" t="s">
        <v>1067</v>
      </c>
      <c r="C777" t="s">
        <v>1068</v>
      </c>
      <c r="D777" t="s">
        <v>107</v>
      </c>
      <c r="E777" t="s">
        <v>200</v>
      </c>
      <c r="F777">
        <v>19</v>
      </c>
      <c r="G777">
        <v>1963</v>
      </c>
      <c r="H777">
        <v>500</v>
      </c>
      <c r="I777">
        <v>3.2509999999999999</v>
      </c>
      <c r="J777">
        <v>156.64099999999999</v>
      </c>
      <c r="K777">
        <v>40</v>
      </c>
    </row>
    <row r="778" spans="1:11">
      <c r="A778">
        <v>10159</v>
      </c>
      <c r="B778" t="s">
        <v>1069</v>
      </c>
      <c r="C778" t="s">
        <v>1070</v>
      </c>
      <c r="E778" t="s">
        <v>1466</v>
      </c>
      <c r="F778">
        <v>77</v>
      </c>
      <c r="G778">
        <v>1949</v>
      </c>
      <c r="H778">
        <v>189</v>
      </c>
      <c r="I778">
        <v>16.501999999999999</v>
      </c>
      <c r="J778">
        <v>1130.6179999999999</v>
      </c>
      <c r="K778">
        <v>494</v>
      </c>
    </row>
    <row r="779" spans="1:11">
      <c r="A779">
        <v>10163</v>
      </c>
      <c r="B779" t="s">
        <v>1071</v>
      </c>
      <c r="C779" t="s">
        <v>614</v>
      </c>
      <c r="D779" t="s">
        <v>107</v>
      </c>
      <c r="E779" t="s">
        <v>1466</v>
      </c>
      <c r="F779">
        <v>77</v>
      </c>
      <c r="G779">
        <v>1952</v>
      </c>
      <c r="H779">
        <v>58</v>
      </c>
      <c r="I779">
        <v>33.625</v>
      </c>
      <c r="J779">
        <v>2351.5459999999998</v>
      </c>
      <c r="K779">
        <v>1227</v>
      </c>
    </row>
    <row r="780" spans="1:11">
      <c r="A780">
        <v>13036</v>
      </c>
      <c r="B780" t="s">
        <v>1071</v>
      </c>
      <c r="C780" t="s">
        <v>555</v>
      </c>
      <c r="D780" t="s">
        <v>107</v>
      </c>
      <c r="E780" t="s">
        <v>1202</v>
      </c>
      <c r="F780">
        <v>76</v>
      </c>
      <c r="G780">
        <v>1957</v>
      </c>
      <c r="H780">
        <v>872</v>
      </c>
      <c r="I780">
        <v>0</v>
      </c>
      <c r="J780">
        <v>0</v>
      </c>
      <c r="K780">
        <v>0</v>
      </c>
    </row>
    <row r="781" spans="1:11">
      <c r="A781">
        <v>29062</v>
      </c>
      <c r="B781" t="s">
        <v>1072</v>
      </c>
      <c r="C781" t="s">
        <v>1659</v>
      </c>
      <c r="E781" t="s">
        <v>470</v>
      </c>
      <c r="F781">
        <v>20</v>
      </c>
      <c r="G781">
        <v>1999</v>
      </c>
      <c r="H781">
        <v>5</v>
      </c>
      <c r="I781">
        <v>57.25</v>
      </c>
      <c r="J781">
        <v>4012.4949999999999</v>
      </c>
      <c r="K781">
        <v>1660</v>
      </c>
    </row>
    <row r="782" spans="1:11">
      <c r="A782">
        <v>29061</v>
      </c>
      <c r="B782" t="s">
        <v>1072</v>
      </c>
      <c r="C782" t="s">
        <v>1660</v>
      </c>
      <c r="E782" t="s">
        <v>470</v>
      </c>
      <c r="F782">
        <v>20</v>
      </c>
      <c r="G782">
        <v>1970</v>
      </c>
      <c r="H782">
        <v>118</v>
      </c>
      <c r="I782">
        <v>25.219000000000001</v>
      </c>
      <c r="J782">
        <v>1740.9069999999999</v>
      </c>
      <c r="K782">
        <v>643</v>
      </c>
    </row>
    <row r="783" spans="1:11">
      <c r="A783">
        <v>23068</v>
      </c>
      <c r="B783" t="s">
        <v>1073</v>
      </c>
      <c r="C783" t="s">
        <v>564</v>
      </c>
      <c r="E783" t="s">
        <v>200</v>
      </c>
      <c r="F783">
        <v>19</v>
      </c>
      <c r="G783">
        <v>1961</v>
      </c>
      <c r="H783">
        <v>873</v>
      </c>
      <c r="I783">
        <v>0</v>
      </c>
      <c r="J783">
        <v>0</v>
      </c>
      <c r="K783">
        <v>0</v>
      </c>
    </row>
    <row r="784" spans="1:11">
      <c r="A784">
        <v>16054</v>
      </c>
      <c r="B784" t="s">
        <v>1073</v>
      </c>
      <c r="C784" t="s">
        <v>797</v>
      </c>
      <c r="E784" t="s">
        <v>1388</v>
      </c>
      <c r="F784">
        <v>82</v>
      </c>
      <c r="G784">
        <v>1966</v>
      </c>
      <c r="H784">
        <v>534</v>
      </c>
      <c r="I784">
        <v>0.68799999999999994</v>
      </c>
      <c r="J784">
        <v>116.758</v>
      </c>
      <c r="K784">
        <v>83</v>
      </c>
    </row>
    <row r="785" spans="1:11">
      <c r="A785">
        <v>23071</v>
      </c>
      <c r="B785" t="s">
        <v>1074</v>
      </c>
      <c r="C785" t="s">
        <v>1075</v>
      </c>
      <c r="D785" t="s">
        <v>107</v>
      </c>
      <c r="E785" t="s">
        <v>200</v>
      </c>
      <c r="F785">
        <v>19</v>
      </c>
      <c r="G785">
        <v>1959</v>
      </c>
      <c r="H785">
        <v>874</v>
      </c>
      <c r="I785">
        <v>0</v>
      </c>
      <c r="J785">
        <v>0</v>
      </c>
      <c r="K785">
        <v>0</v>
      </c>
    </row>
    <row r="786" spans="1:11">
      <c r="A786">
        <v>15070</v>
      </c>
      <c r="B786" t="s">
        <v>1661</v>
      </c>
      <c r="C786" t="s">
        <v>1662</v>
      </c>
      <c r="D786" t="s">
        <v>107</v>
      </c>
      <c r="E786" t="s">
        <v>164</v>
      </c>
      <c r="F786">
        <v>52</v>
      </c>
      <c r="G786">
        <v>1973</v>
      </c>
      <c r="H786">
        <v>295</v>
      </c>
      <c r="I786">
        <v>15.345000000000001</v>
      </c>
      <c r="J786">
        <v>605.65800000000002</v>
      </c>
      <c r="K786">
        <v>31</v>
      </c>
    </row>
    <row r="787" spans="1:11">
      <c r="A787">
        <v>15057</v>
      </c>
      <c r="B787" t="s">
        <v>1663</v>
      </c>
      <c r="C787" t="s">
        <v>549</v>
      </c>
      <c r="D787" t="s">
        <v>91</v>
      </c>
      <c r="E787" t="s">
        <v>501</v>
      </c>
      <c r="F787">
        <v>1</v>
      </c>
      <c r="G787">
        <v>2005</v>
      </c>
      <c r="H787">
        <v>513</v>
      </c>
      <c r="I787">
        <v>4.7190000000000003</v>
      </c>
      <c r="J787">
        <v>137.06100000000001</v>
      </c>
      <c r="K787">
        <v>0</v>
      </c>
    </row>
    <row r="788" spans="1:11">
      <c r="A788">
        <v>14100</v>
      </c>
      <c r="B788" t="s">
        <v>1664</v>
      </c>
      <c r="C788" t="s">
        <v>629</v>
      </c>
      <c r="D788" t="s">
        <v>107</v>
      </c>
      <c r="E788" t="s">
        <v>495</v>
      </c>
      <c r="F788">
        <v>64</v>
      </c>
      <c r="G788">
        <v>1981</v>
      </c>
      <c r="H788">
        <v>161</v>
      </c>
      <c r="I788">
        <v>19.937999999999999</v>
      </c>
      <c r="J788">
        <v>1332.3019999999999</v>
      </c>
      <c r="K788">
        <v>513</v>
      </c>
    </row>
    <row r="789" spans="1:11">
      <c r="A789">
        <v>96102</v>
      </c>
      <c r="B789" t="s">
        <v>1076</v>
      </c>
      <c r="C789" t="s">
        <v>535</v>
      </c>
      <c r="E789" t="s">
        <v>491</v>
      </c>
      <c r="F789">
        <v>21</v>
      </c>
      <c r="G789">
        <v>1980</v>
      </c>
      <c r="H789">
        <v>379</v>
      </c>
      <c r="I789">
        <v>2.875</v>
      </c>
      <c r="J789">
        <v>342.44600000000003</v>
      </c>
      <c r="K789">
        <v>217</v>
      </c>
    </row>
    <row r="790" spans="1:11">
      <c r="A790">
        <v>96052</v>
      </c>
      <c r="B790" t="s">
        <v>1076</v>
      </c>
      <c r="C790" t="s">
        <v>595</v>
      </c>
      <c r="E790" t="s">
        <v>491</v>
      </c>
      <c r="F790">
        <v>21</v>
      </c>
      <c r="G790">
        <v>1948</v>
      </c>
      <c r="H790">
        <v>388</v>
      </c>
      <c r="I790">
        <v>8.5470000000000006</v>
      </c>
      <c r="J790">
        <v>329.98200000000003</v>
      </c>
      <c r="K790">
        <v>48</v>
      </c>
    </row>
    <row r="791" spans="1:11">
      <c r="A791">
        <v>17058</v>
      </c>
      <c r="B791" t="s">
        <v>1665</v>
      </c>
      <c r="C791" t="s">
        <v>758</v>
      </c>
      <c r="E791" t="s">
        <v>1437</v>
      </c>
      <c r="F791">
        <v>86</v>
      </c>
      <c r="G791">
        <v>1998</v>
      </c>
      <c r="H791">
        <v>456</v>
      </c>
      <c r="I791">
        <v>4.3129999999999997</v>
      </c>
      <c r="J791">
        <v>202.976</v>
      </c>
      <c r="K791">
        <v>0</v>
      </c>
    </row>
    <row r="792" spans="1:11">
      <c r="A792">
        <v>10031</v>
      </c>
      <c r="B792" t="s">
        <v>1077</v>
      </c>
      <c r="C792" t="s">
        <v>564</v>
      </c>
      <c r="E792" t="s">
        <v>582</v>
      </c>
      <c r="F792">
        <v>67</v>
      </c>
      <c r="G792">
        <v>1959</v>
      </c>
      <c r="H792">
        <v>366</v>
      </c>
      <c r="I792">
        <v>7.4379999999999997</v>
      </c>
      <c r="J792">
        <v>362.77600000000001</v>
      </c>
      <c r="K792">
        <v>102</v>
      </c>
    </row>
    <row r="793" spans="1:11">
      <c r="A793">
        <v>10032</v>
      </c>
      <c r="B793" t="s">
        <v>1077</v>
      </c>
      <c r="C793" t="s">
        <v>564</v>
      </c>
      <c r="E793" t="s">
        <v>582</v>
      </c>
      <c r="F793">
        <v>67</v>
      </c>
      <c r="G793">
        <v>1953</v>
      </c>
      <c r="H793">
        <v>499</v>
      </c>
      <c r="I793">
        <v>2.5630000000000002</v>
      </c>
      <c r="J793">
        <v>156.959</v>
      </c>
      <c r="K793">
        <v>53</v>
      </c>
    </row>
    <row r="794" spans="1:11">
      <c r="A794">
        <v>10033</v>
      </c>
      <c r="B794" t="s">
        <v>1077</v>
      </c>
      <c r="C794" t="s">
        <v>813</v>
      </c>
      <c r="E794" t="s">
        <v>582</v>
      </c>
      <c r="F794">
        <v>67</v>
      </c>
      <c r="G794">
        <v>1963</v>
      </c>
      <c r="H794">
        <v>640</v>
      </c>
      <c r="I794">
        <v>1.1879999999999999</v>
      </c>
      <c r="J794">
        <v>41.320999999999998</v>
      </c>
      <c r="K794">
        <v>0</v>
      </c>
    </row>
    <row r="795" spans="1:11">
      <c r="A795">
        <v>17030</v>
      </c>
      <c r="B795" t="s">
        <v>1078</v>
      </c>
      <c r="C795" t="s">
        <v>973</v>
      </c>
      <c r="D795" t="s">
        <v>91</v>
      </c>
      <c r="E795" t="s">
        <v>501</v>
      </c>
      <c r="F795">
        <v>1</v>
      </c>
      <c r="G795">
        <v>2011</v>
      </c>
      <c r="H795">
        <v>875</v>
      </c>
      <c r="I795">
        <v>0</v>
      </c>
      <c r="J795">
        <v>0</v>
      </c>
      <c r="K795">
        <v>0</v>
      </c>
    </row>
    <row r="796" spans="1:11">
      <c r="A796">
        <v>21786</v>
      </c>
      <c r="B796" t="s">
        <v>1079</v>
      </c>
      <c r="C796" t="s">
        <v>720</v>
      </c>
      <c r="D796" t="s">
        <v>107</v>
      </c>
      <c r="E796" t="s">
        <v>501</v>
      </c>
      <c r="F796">
        <v>1</v>
      </c>
      <c r="G796">
        <v>1986</v>
      </c>
      <c r="H796">
        <v>14</v>
      </c>
      <c r="I796">
        <v>39.703000000000003</v>
      </c>
      <c r="J796">
        <v>3323.3789999999999</v>
      </c>
      <c r="K796">
        <v>1371</v>
      </c>
    </row>
    <row r="797" spans="1:11">
      <c r="A797">
        <v>14020</v>
      </c>
      <c r="B797" t="s">
        <v>1666</v>
      </c>
      <c r="C797" t="s">
        <v>1667</v>
      </c>
      <c r="E797" t="s">
        <v>497</v>
      </c>
      <c r="F797">
        <v>51</v>
      </c>
      <c r="G797">
        <v>1950</v>
      </c>
      <c r="H797">
        <v>876</v>
      </c>
      <c r="I797">
        <v>0</v>
      </c>
      <c r="J797">
        <v>0</v>
      </c>
      <c r="K797">
        <v>0</v>
      </c>
    </row>
    <row r="798" spans="1:11">
      <c r="A798">
        <v>17042</v>
      </c>
      <c r="B798" t="s">
        <v>1668</v>
      </c>
      <c r="C798" t="s">
        <v>1669</v>
      </c>
      <c r="E798" t="s">
        <v>1343</v>
      </c>
      <c r="F798">
        <v>79</v>
      </c>
      <c r="G798">
        <v>1991</v>
      </c>
      <c r="H798">
        <v>406</v>
      </c>
      <c r="I798">
        <v>4.6879999999999997</v>
      </c>
      <c r="J798">
        <v>290.72699999999998</v>
      </c>
      <c r="K798">
        <v>74</v>
      </c>
    </row>
    <row r="799" spans="1:11">
      <c r="A799">
        <v>17036</v>
      </c>
      <c r="B799" t="s">
        <v>1670</v>
      </c>
      <c r="C799" t="s">
        <v>564</v>
      </c>
      <c r="E799" t="s">
        <v>1424</v>
      </c>
      <c r="F799">
        <v>28</v>
      </c>
      <c r="G799">
        <v>1961</v>
      </c>
      <c r="H799">
        <v>625</v>
      </c>
      <c r="I799">
        <v>1.3129999999999999</v>
      </c>
      <c r="J799">
        <v>48.470999999999997</v>
      </c>
      <c r="K799">
        <v>0</v>
      </c>
    </row>
    <row r="800" spans="1:11">
      <c r="A800">
        <v>17037</v>
      </c>
      <c r="B800" t="s">
        <v>1671</v>
      </c>
      <c r="C800" t="s">
        <v>537</v>
      </c>
      <c r="D800" t="s">
        <v>107</v>
      </c>
      <c r="E800" t="s">
        <v>1424</v>
      </c>
      <c r="F800">
        <v>28</v>
      </c>
      <c r="G800">
        <v>1967</v>
      </c>
      <c r="H800">
        <v>877</v>
      </c>
      <c r="I800">
        <v>0</v>
      </c>
      <c r="J800">
        <v>0</v>
      </c>
      <c r="K800">
        <v>0</v>
      </c>
    </row>
    <row r="801" spans="1:11">
      <c r="A801">
        <v>10128</v>
      </c>
      <c r="B801" t="s">
        <v>1080</v>
      </c>
      <c r="C801" t="s">
        <v>659</v>
      </c>
      <c r="D801" t="s">
        <v>107</v>
      </c>
      <c r="E801" t="s">
        <v>1200</v>
      </c>
      <c r="F801">
        <v>70</v>
      </c>
      <c r="G801">
        <v>1935</v>
      </c>
      <c r="H801">
        <v>878</v>
      </c>
      <c r="I801">
        <v>0</v>
      </c>
      <c r="J801">
        <v>0</v>
      </c>
      <c r="K801">
        <v>0</v>
      </c>
    </row>
    <row r="802" spans="1:11">
      <c r="A802">
        <v>16139</v>
      </c>
      <c r="B802" t="s">
        <v>1672</v>
      </c>
      <c r="C802" t="s">
        <v>695</v>
      </c>
      <c r="D802" t="s">
        <v>107</v>
      </c>
      <c r="E802" t="s">
        <v>1210</v>
      </c>
      <c r="F802">
        <v>42</v>
      </c>
      <c r="G802">
        <v>1962</v>
      </c>
      <c r="H802">
        <v>430</v>
      </c>
      <c r="I802">
        <v>6.4080000000000004</v>
      </c>
      <c r="J802">
        <v>251.11500000000001</v>
      </c>
      <c r="K802">
        <v>0</v>
      </c>
    </row>
    <row r="803" spans="1:11">
      <c r="A803">
        <v>97232</v>
      </c>
      <c r="B803" t="s">
        <v>1081</v>
      </c>
      <c r="C803" t="s">
        <v>584</v>
      </c>
      <c r="E803" t="s">
        <v>1206</v>
      </c>
      <c r="F803">
        <v>24</v>
      </c>
      <c r="G803">
        <v>1982</v>
      </c>
      <c r="H803">
        <v>223</v>
      </c>
      <c r="I803">
        <v>10.938000000000001</v>
      </c>
      <c r="J803">
        <v>927.34500000000003</v>
      </c>
      <c r="K803">
        <v>407</v>
      </c>
    </row>
    <row r="804" spans="1:11">
      <c r="A804">
        <v>96200</v>
      </c>
      <c r="B804" t="s">
        <v>1081</v>
      </c>
      <c r="C804" t="s">
        <v>535</v>
      </c>
      <c r="E804" t="s">
        <v>1206</v>
      </c>
      <c r="F804">
        <v>24</v>
      </c>
      <c r="G804">
        <v>1952</v>
      </c>
      <c r="H804">
        <v>97</v>
      </c>
      <c r="I804">
        <v>24.5</v>
      </c>
      <c r="J804">
        <v>1916.4469999999999</v>
      </c>
      <c r="K804">
        <v>786</v>
      </c>
    </row>
    <row r="805" spans="1:11">
      <c r="A805">
        <v>10073</v>
      </c>
      <c r="B805" t="s">
        <v>1082</v>
      </c>
      <c r="C805" t="s">
        <v>621</v>
      </c>
      <c r="E805" t="s">
        <v>477</v>
      </c>
      <c r="F805">
        <v>27</v>
      </c>
      <c r="G805">
        <v>1948</v>
      </c>
      <c r="H805">
        <v>279</v>
      </c>
      <c r="I805">
        <v>10.625999999999999</v>
      </c>
      <c r="J805">
        <v>658.94600000000003</v>
      </c>
      <c r="K805">
        <v>205</v>
      </c>
    </row>
    <row r="806" spans="1:11">
      <c r="A806">
        <v>10037</v>
      </c>
      <c r="B806" t="s">
        <v>1083</v>
      </c>
      <c r="C806" t="s">
        <v>708</v>
      </c>
      <c r="E806" t="s">
        <v>681</v>
      </c>
      <c r="F806">
        <v>68</v>
      </c>
      <c r="G806">
        <v>1976</v>
      </c>
      <c r="H806">
        <v>313</v>
      </c>
      <c r="I806">
        <v>3.7349999999999999</v>
      </c>
      <c r="J806">
        <v>531.31799999999998</v>
      </c>
      <c r="K806">
        <v>341</v>
      </c>
    </row>
    <row r="807" spans="1:11">
      <c r="A807">
        <v>96213</v>
      </c>
      <c r="B807" t="s">
        <v>1084</v>
      </c>
      <c r="C807" t="s">
        <v>982</v>
      </c>
      <c r="D807" t="s">
        <v>107</v>
      </c>
      <c r="E807" t="s">
        <v>1206</v>
      </c>
      <c r="F807">
        <v>24</v>
      </c>
      <c r="G807">
        <v>1960</v>
      </c>
      <c r="H807">
        <v>511</v>
      </c>
      <c r="I807">
        <v>2.3439999999999999</v>
      </c>
      <c r="J807">
        <v>137.66</v>
      </c>
      <c r="K807">
        <v>35</v>
      </c>
    </row>
    <row r="808" spans="1:11">
      <c r="A808">
        <v>28027</v>
      </c>
      <c r="B808" t="s">
        <v>1085</v>
      </c>
      <c r="C808" t="s">
        <v>679</v>
      </c>
      <c r="E808" t="s">
        <v>643</v>
      </c>
      <c r="F808">
        <v>62</v>
      </c>
      <c r="G808">
        <v>1968</v>
      </c>
      <c r="H808">
        <v>219</v>
      </c>
      <c r="I808">
        <v>15.156000000000001</v>
      </c>
      <c r="J808">
        <v>943.95399999999995</v>
      </c>
      <c r="K808">
        <v>364</v>
      </c>
    </row>
    <row r="809" spans="1:11">
      <c r="A809">
        <v>13084</v>
      </c>
      <c r="B809" t="s">
        <v>1673</v>
      </c>
      <c r="C809" t="s">
        <v>627</v>
      </c>
      <c r="E809" t="s">
        <v>495</v>
      </c>
      <c r="F809">
        <v>64</v>
      </c>
      <c r="G809">
        <v>1979</v>
      </c>
      <c r="H809">
        <v>230</v>
      </c>
      <c r="I809">
        <v>20.282</v>
      </c>
      <c r="J809">
        <v>879.99300000000005</v>
      </c>
      <c r="K809">
        <v>114</v>
      </c>
    </row>
    <row r="810" spans="1:11">
      <c r="A810">
        <v>14079</v>
      </c>
      <c r="B810" t="s">
        <v>1674</v>
      </c>
      <c r="C810" t="s">
        <v>589</v>
      </c>
      <c r="D810" t="s">
        <v>91</v>
      </c>
      <c r="E810" t="s">
        <v>1343</v>
      </c>
      <c r="F810">
        <v>79</v>
      </c>
      <c r="G810">
        <v>2002</v>
      </c>
      <c r="H810">
        <v>83</v>
      </c>
      <c r="I810">
        <v>37.5</v>
      </c>
      <c r="J810">
        <v>2023.277</v>
      </c>
      <c r="K810">
        <v>617</v>
      </c>
    </row>
    <row r="811" spans="1:11">
      <c r="A811">
        <v>21827</v>
      </c>
      <c r="B811" t="s">
        <v>1086</v>
      </c>
      <c r="C811" t="s">
        <v>564</v>
      </c>
      <c r="E811" t="s">
        <v>1234</v>
      </c>
      <c r="F811">
        <v>36</v>
      </c>
      <c r="G811">
        <v>1978</v>
      </c>
      <c r="H811">
        <v>879</v>
      </c>
      <c r="I811">
        <v>0</v>
      </c>
      <c r="J811">
        <v>0</v>
      </c>
      <c r="K811">
        <v>0</v>
      </c>
    </row>
    <row r="812" spans="1:11">
      <c r="A812">
        <v>15006</v>
      </c>
      <c r="B812" t="s">
        <v>1675</v>
      </c>
      <c r="C812" t="s">
        <v>564</v>
      </c>
      <c r="E812" t="s">
        <v>1221</v>
      </c>
      <c r="F812">
        <v>15</v>
      </c>
      <c r="G812">
        <v>1996</v>
      </c>
      <c r="H812">
        <v>60</v>
      </c>
      <c r="I812">
        <v>33.125</v>
      </c>
      <c r="J812">
        <v>2350.4720000000002</v>
      </c>
      <c r="K812">
        <v>1374</v>
      </c>
    </row>
    <row r="813" spans="1:11">
      <c r="A813">
        <v>16005</v>
      </c>
      <c r="B813" t="s">
        <v>1675</v>
      </c>
      <c r="C813" t="s">
        <v>572</v>
      </c>
      <c r="E813" t="s">
        <v>1221</v>
      </c>
      <c r="F813">
        <v>15</v>
      </c>
      <c r="G813">
        <v>1991</v>
      </c>
      <c r="H813">
        <v>123</v>
      </c>
      <c r="I813">
        <v>22.876000000000001</v>
      </c>
      <c r="J813">
        <v>1712.673</v>
      </c>
      <c r="K813">
        <v>762</v>
      </c>
    </row>
    <row r="814" spans="1:11">
      <c r="A814">
        <v>15062</v>
      </c>
      <c r="B814" t="s">
        <v>1676</v>
      </c>
      <c r="C814" t="s">
        <v>564</v>
      </c>
      <c r="E814" t="s">
        <v>484</v>
      </c>
      <c r="F814">
        <v>7</v>
      </c>
      <c r="G814">
        <v>1988</v>
      </c>
      <c r="H814">
        <v>880</v>
      </c>
      <c r="I814">
        <v>0</v>
      </c>
      <c r="J814">
        <v>0</v>
      </c>
      <c r="K814">
        <v>0</v>
      </c>
    </row>
    <row r="815" spans="1:11">
      <c r="A815">
        <v>12024</v>
      </c>
      <c r="B815" t="s">
        <v>1087</v>
      </c>
      <c r="C815" t="s">
        <v>564</v>
      </c>
      <c r="E815" t="s">
        <v>487</v>
      </c>
      <c r="F815">
        <v>69</v>
      </c>
      <c r="G815">
        <v>1937</v>
      </c>
      <c r="H815">
        <v>691</v>
      </c>
      <c r="I815">
        <v>0.375</v>
      </c>
      <c r="J815">
        <v>10.965999999999999</v>
      </c>
      <c r="K815">
        <v>0</v>
      </c>
    </row>
    <row r="816" spans="1:11">
      <c r="A816">
        <v>15067</v>
      </c>
      <c r="B816" t="s">
        <v>1677</v>
      </c>
      <c r="C816" t="s">
        <v>1678</v>
      </c>
      <c r="E816" t="s">
        <v>1466</v>
      </c>
      <c r="F816">
        <v>77</v>
      </c>
      <c r="G816">
        <v>1978</v>
      </c>
      <c r="H816">
        <v>62</v>
      </c>
      <c r="I816">
        <v>31.25</v>
      </c>
      <c r="J816">
        <v>2307.721</v>
      </c>
      <c r="K816">
        <v>1182</v>
      </c>
    </row>
    <row r="817" spans="1:11">
      <c r="A817">
        <v>15019</v>
      </c>
      <c r="B817" t="s">
        <v>1679</v>
      </c>
      <c r="C817" t="s">
        <v>1680</v>
      </c>
      <c r="D817" t="s">
        <v>107</v>
      </c>
      <c r="E817" t="s">
        <v>472</v>
      </c>
      <c r="F817">
        <v>54</v>
      </c>
      <c r="H817">
        <v>475</v>
      </c>
      <c r="I817">
        <v>3.774</v>
      </c>
      <c r="J817">
        <v>187.767</v>
      </c>
      <c r="K817">
        <v>20</v>
      </c>
    </row>
    <row r="818" spans="1:11">
      <c r="A818">
        <v>15078</v>
      </c>
      <c r="B818" t="s">
        <v>1681</v>
      </c>
      <c r="C818" t="s">
        <v>627</v>
      </c>
      <c r="E818" t="s">
        <v>489</v>
      </c>
      <c r="F818">
        <v>13</v>
      </c>
      <c r="G818">
        <v>1983</v>
      </c>
      <c r="H818">
        <v>167</v>
      </c>
      <c r="I818">
        <v>18.001000000000001</v>
      </c>
      <c r="J818">
        <v>1302.211</v>
      </c>
      <c r="K818">
        <v>597</v>
      </c>
    </row>
    <row r="819" spans="1:11">
      <c r="A819">
        <v>16137</v>
      </c>
      <c r="B819" t="s">
        <v>1682</v>
      </c>
      <c r="C819" t="s">
        <v>1683</v>
      </c>
      <c r="D819" t="s">
        <v>107</v>
      </c>
      <c r="E819" t="s">
        <v>1343</v>
      </c>
      <c r="F819">
        <v>79</v>
      </c>
      <c r="G819">
        <v>1986</v>
      </c>
      <c r="H819">
        <v>536</v>
      </c>
      <c r="I819">
        <v>2.5950000000000002</v>
      </c>
      <c r="J819">
        <v>114.149</v>
      </c>
      <c r="K819">
        <v>22</v>
      </c>
    </row>
    <row r="820" spans="1:11">
      <c r="A820">
        <v>16045</v>
      </c>
      <c r="B820" t="s">
        <v>1684</v>
      </c>
      <c r="C820" t="s">
        <v>1034</v>
      </c>
      <c r="E820" t="s">
        <v>487</v>
      </c>
      <c r="F820">
        <v>69</v>
      </c>
      <c r="G820">
        <v>1972</v>
      </c>
      <c r="H820">
        <v>881</v>
      </c>
      <c r="I820">
        <v>0</v>
      </c>
      <c r="J820">
        <v>0</v>
      </c>
      <c r="K820">
        <v>0</v>
      </c>
    </row>
    <row r="821" spans="1:11">
      <c r="A821">
        <v>16046</v>
      </c>
      <c r="B821" t="s">
        <v>1685</v>
      </c>
      <c r="C821" t="s">
        <v>1126</v>
      </c>
      <c r="E821" t="s">
        <v>487</v>
      </c>
      <c r="F821">
        <v>69</v>
      </c>
      <c r="G821">
        <v>1949</v>
      </c>
      <c r="H821">
        <v>694</v>
      </c>
      <c r="I821">
        <v>0.125</v>
      </c>
      <c r="J821">
        <v>3.6549999999999998</v>
      </c>
      <c r="K821">
        <v>0</v>
      </c>
    </row>
    <row r="822" spans="1:11">
      <c r="A822">
        <v>11035</v>
      </c>
      <c r="B822" t="s">
        <v>1088</v>
      </c>
      <c r="C822" t="s">
        <v>1089</v>
      </c>
      <c r="E822" t="s">
        <v>487</v>
      </c>
      <c r="F822">
        <v>69</v>
      </c>
      <c r="G822">
        <v>1959</v>
      </c>
      <c r="H822">
        <v>882</v>
      </c>
      <c r="I822">
        <v>0</v>
      </c>
      <c r="J822">
        <v>0</v>
      </c>
      <c r="K822">
        <v>0</v>
      </c>
    </row>
    <row r="823" spans="1:11">
      <c r="A823">
        <v>10041</v>
      </c>
      <c r="B823" t="s">
        <v>1090</v>
      </c>
      <c r="C823" t="s">
        <v>950</v>
      </c>
      <c r="E823" t="s">
        <v>681</v>
      </c>
      <c r="F823">
        <v>68</v>
      </c>
      <c r="G823">
        <v>1963</v>
      </c>
      <c r="H823">
        <v>608</v>
      </c>
      <c r="I823">
        <v>1.5629999999999999</v>
      </c>
      <c r="J823">
        <v>63.362000000000002</v>
      </c>
      <c r="K823">
        <v>0</v>
      </c>
    </row>
    <row r="824" spans="1:11">
      <c r="A824">
        <v>16146</v>
      </c>
      <c r="B824" t="s">
        <v>1686</v>
      </c>
      <c r="C824" t="s">
        <v>551</v>
      </c>
      <c r="E824" t="s">
        <v>1388</v>
      </c>
      <c r="F824">
        <v>82</v>
      </c>
      <c r="G824">
        <v>1984</v>
      </c>
      <c r="H824">
        <v>454</v>
      </c>
      <c r="I824">
        <v>5</v>
      </c>
      <c r="J824">
        <v>205.08</v>
      </c>
      <c r="K824">
        <v>0</v>
      </c>
    </row>
    <row r="825" spans="1:11">
      <c r="A825">
        <v>13024</v>
      </c>
      <c r="B825" t="s">
        <v>1091</v>
      </c>
      <c r="C825" t="s">
        <v>768</v>
      </c>
      <c r="D825" t="s">
        <v>107</v>
      </c>
      <c r="E825" t="s">
        <v>1170</v>
      </c>
      <c r="F825">
        <v>75</v>
      </c>
      <c r="G825">
        <v>1985</v>
      </c>
      <c r="H825">
        <v>883</v>
      </c>
      <c r="I825">
        <v>0</v>
      </c>
      <c r="J825">
        <v>0</v>
      </c>
      <c r="K825">
        <v>0</v>
      </c>
    </row>
    <row r="826" spans="1:11">
      <c r="A826">
        <v>16135</v>
      </c>
      <c r="B826" t="s">
        <v>1687</v>
      </c>
      <c r="C826" t="s">
        <v>1600</v>
      </c>
      <c r="D826" t="s">
        <v>655</v>
      </c>
      <c r="E826" t="s">
        <v>1197</v>
      </c>
      <c r="F826">
        <v>2</v>
      </c>
      <c r="G826">
        <v>2007</v>
      </c>
      <c r="H826">
        <v>885</v>
      </c>
      <c r="I826">
        <v>0</v>
      </c>
      <c r="J826">
        <v>0</v>
      </c>
      <c r="K826">
        <v>0</v>
      </c>
    </row>
    <row r="827" spans="1:11">
      <c r="A827">
        <v>16134</v>
      </c>
      <c r="B827" t="s">
        <v>1687</v>
      </c>
      <c r="C827" t="s">
        <v>1228</v>
      </c>
      <c r="D827" t="s">
        <v>655</v>
      </c>
      <c r="E827" t="s">
        <v>1197</v>
      </c>
      <c r="F827">
        <v>2</v>
      </c>
      <c r="G827">
        <v>2004</v>
      </c>
      <c r="H827">
        <v>884</v>
      </c>
      <c r="I827">
        <v>0</v>
      </c>
      <c r="J827">
        <v>0</v>
      </c>
      <c r="K827">
        <v>0</v>
      </c>
    </row>
    <row r="828" spans="1:11">
      <c r="A828">
        <v>16148</v>
      </c>
      <c r="B828" t="s">
        <v>1688</v>
      </c>
      <c r="C828" t="s">
        <v>564</v>
      </c>
      <c r="E828" t="s">
        <v>495</v>
      </c>
      <c r="F828">
        <v>64</v>
      </c>
      <c r="G828">
        <v>1981</v>
      </c>
      <c r="H828">
        <v>455</v>
      </c>
      <c r="I828">
        <v>3.6259999999999999</v>
      </c>
      <c r="J828">
        <v>204.30199999999999</v>
      </c>
      <c r="K828">
        <v>38</v>
      </c>
    </row>
    <row r="829" spans="1:11">
      <c r="A829">
        <v>10175</v>
      </c>
      <c r="B829" t="s">
        <v>1092</v>
      </c>
      <c r="C829" t="s">
        <v>558</v>
      </c>
      <c r="E829" t="s">
        <v>470</v>
      </c>
      <c r="F829">
        <v>20</v>
      </c>
      <c r="G829">
        <v>1979</v>
      </c>
      <c r="H829">
        <v>239</v>
      </c>
      <c r="I829">
        <v>13.173</v>
      </c>
      <c r="J829">
        <v>839.548</v>
      </c>
      <c r="K829">
        <v>279</v>
      </c>
    </row>
    <row r="830" spans="1:11">
      <c r="A830">
        <v>15058</v>
      </c>
      <c r="B830" t="s">
        <v>1092</v>
      </c>
      <c r="C830" t="s">
        <v>1689</v>
      </c>
      <c r="D830" t="s">
        <v>91</v>
      </c>
      <c r="E830" t="s">
        <v>470</v>
      </c>
      <c r="F830">
        <v>20</v>
      </c>
      <c r="G830">
        <v>2004</v>
      </c>
      <c r="H830">
        <v>268</v>
      </c>
      <c r="I830">
        <v>12.125999999999999</v>
      </c>
      <c r="J830">
        <v>684.85699999999997</v>
      </c>
      <c r="K830">
        <v>189</v>
      </c>
    </row>
    <row r="831" spans="1:11">
      <c r="A831">
        <v>17068</v>
      </c>
      <c r="B831" t="s">
        <v>1690</v>
      </c>
      <c r="C831" t="s">
        <v>534</v>
      </c>
      <c r="E831" t="s">
        <v>1287</v>
      </c>
      <c r="F831">
        <v>65</v>
      </c>
      <c r="G831">
        <v>1952</v>
      </c>
      <c r="H831">
        <v>886</v>
      </c>
      <c r="I831">
        <v>0</v>
      </c>
      <c r="J831">
        <v>0</v>
      </c>
      <c r="K831">
        <v>0</v>
      </c>
    </row>
    <row r="832" spans="1:11">
      <c r="A832">
        <v>10098</v>
      </c>
      <c r="B832" t="s">
        <v>1093</v>
      </c>
      <c r="C832" t="s">
        <v>1094</v>
      </c>
      <c r="E832" t="s">
        <v>487</v>
      </c>
      <c r="F832">
        <v>69</v>
      </c>
      <c r="G832">
        <v>1959</v>
      </c>
      <c r="H832">
        <v>887</v>
      </c>
      <c r="I832">
        <v>0</v>
      </c>
      <c r="J832">
        <v>0</v>
      </c>
      <c r="K832">
        <v>0</v>
      </c>
    </row>
    <row r="833" spans="1:11">
      <c r="A833">
        <v>17052</v>
      </c>
      <c r="B833" t="s">
        <v>1691</v>
      </c>
      <c r="C833" t="s">
        <v>543</v>
      </c>
      <c r="E833" t="s">
        <v>1437</v>
      </c>
      <c r="F833">
        <v>86</v>
      </c>
      <c r="G833">
        <v>1962</v>
      </c>
      <c r="H833">
        <v>533</v>
      </c>
      <c r="I833">
        <v>2.5150000000000001</v>
      </c>
      <c r="J833">
        <v>118.321</v>
      </c>
      <c r="K833">
        <v>0</v>
      </c>
    </row>
    <row r="834" spans="1:11">
      <c r="A834">
        <v>17055</v>
      </c>
      <c r="B834" t="s">
        <v>1691</v>
      </c>
      <c r="C834" t="s">
        <v>1692</v>
      </c>
      <c r="D834" t="s">
        <v>91</v>
      </c>
      <c r="E834" t="s">
        <v>1437</v>
      </c>
      <c r="F834">
        <v>86</v>
      </c>
      <c r="G834">
        <v>2000</v>
      </c>
      <c r="H834">
        <v>479</v>
      </c>
      <c r="I834">
        <v>3.907</v>
      </c>
      <c r="J834">
        <v>183.65100000000001</v>
      </c>
      <c r="K834">
        <v>0</v>
      </c>
    </row>
    <row r="835" spans="1:11">
      <c r="A835">
        <v>16144</v>
      </c>
      <c r="B835" t="s">
        <v>1691</v>
      </c>
      <c r="C835" t="s">
        <v>758</v>
      </c>
      <c r="E835" t="s">
        <v>1437</v>
      </c>
      <c r="F835">
        <v>86</v>
      </c>
      <c r="G835">
        <v>1992</v>
      </c>
      <c r="H835">
        <v>289</v>
      </c>
      <c r="I835">
        <v>12.064</v>
      </c>
      <c r="J835">
        <v>619.55600000000004</v>
      </c>
      <c r="K835">
        <v>81</v>
      </c>
    </row>
    <row r="836" spans="1:11">
      <c r="A836">
        <v>17054</v>
      </c>
      <c r="B836" t="s">
        <v>1693</v>
      </c>
      <c r="C836" t="s">
        <v>629</v>
      </c>
      <c r="D836" t="s">
        <v>107</v>
      </c>
      <c r="E836" t="s">
        <v>1437</v>
      </c>
      <c r="F836">
        <v>86</v>
      </c>
      <c r="G836">
        <v>1996</v>
      </c>
      <c r="H836">
        <v>889</v>
      </c>
      <c r="I836">
        <v>0</v>
      </c>
      <c r="J836">
        <v>0</v>
      </c>
      <c r="K836">
        <v>0</v>
      </c>
    </row>
    <row r="837" spans="1:11">
      <c r="A837">
        <v>17053</v>
      </c>
      <c r="B837" t="s">
        <v>1693</v>
      </c>
      <c r="C837" t="s">
        <v>1694</v>
      </c>
      <c r="D837" t="s">
        <v>107</v>
      </c>
      <c r="E837" t="s">
        <v>1437</v>
      </c>
      <c r="F837">
        <v>86</v>
      </c>
      <c r="G837">
        <v>1966</v>
      </c>
      <c r="H837">
        <v>888</v>
      </c>
      <c r="I837">
        <v>0</v>
      </c>
      <c r="J837">
        <v>0</v>
      </c>
      <c r="K837">
        <v>0</v>
      </c>
    </row>
    <row r="838" spans="1:11">
      <c r="A838">
        <v>96127</v>
      </c>
      <c r="B838" t="s">
        <v>1095</v>
      </c>
      <c r="C838" t="s">
        <v>621</v>
      </c>
      <c r="E838" t="s">
        <v>484</v>
      </c>
      <c r="F838">
        <v>7</v>
      </c>
      <c r="G838">
        <v>1973</v>
      </c>
      <c r="H838">
        <v>679</v>
      </c>
      <c r="I838">
        <v>0.81299999999999994</v>
      </c>
      <c r="J838">
        <v>18.507999999999999</v>
      </c>
      <c r="K838">
        <v>0</v>
      </c>
    </row>
    <row r="839" spans="1:11">
      <c r="A839">
        <v>28036</v>
      </c>
      <c r="B839" t="s">
        <v>1096</v>
      </c>
      <c r="C839" t="s">
        <v>736</v>
      </c>
      <c r="E839" t="s">
        <v>200</v>
      </c>
      <c r="F839">
        <v>19</v>
      </c>
      <c r="G839">
        <v>1943</v>
      </c>
      <c r="H839">
        <v>449</v>
      </c>
      <c r="I839">
        <v>3.0630000000000002</v>
      </c>
      <c r="J839">
        <v>210.101</v>
      </c>
      <c r="K839">
        <v>82</v>
      </c>
    </row>
    <row r="840" spans="1:11">
      <c r="A840">
        <v>14090</v>
      </c>
      <c r="B840" t="s">
        <v>1695</v>
      </c>
      <c r="C840" t="s">
        <v>673</v>
      </c>
      <c r="E840" t="s">
        <v>1343</v>
      </c>
      <c r="F840">
        <v>79</v>
      </c>
      <c r="G840">
        <v>1987</v>
      </c>
      <c r="H840">
        <v>452</v>
      </c>
      <c r="I840">
        <v>1.625</v>
      </c>
      <c r="J840">
        <v>206.76</v>
      </c>
      <c r="K840">
        <v>129</v>
      </c>
    </row>
    <row r="841" spans="1:11">
      <c r="A841">
        <v>12083</v>
      </c>
      <c r="B841" t="s">
        <v>1250</v>
      </c>
      <c r="C841" t="s">
        <v>741</v>
      </c>
      <c r="E841" t="s">
        <v>576</v>
      </c>
      <c r="F841">
        <v>73</v>
      </c>
      <c r="G841">
        <v>1954</v>
      </c>
      <c r="H841">
        <v>136</v>
      </c>
      <c r="I841">
        <v>24.562999999999999</v>
      </c>
      <c r="J841">
        <v>1563.623</v>
      </c>
      <c r="K841">
        <v>659</v>
      </c>
    </row>
    <row r="842" spans="1:11">
      <c r="A842">
        <v>17038</v>
      </c>
      <c r="B842" t="s">
        <v>1696</v>
      </c>
      <c r="C842" t="s">
        <v>539</v>
      </c>
      <c r="D842" t="s">
        <v>107</v>
      </c>
      <c r="E842" t="s">
        <v>216</v>
      </c>
      <c r="F842">
        <v>33</v>
      </c>
      <c r="G842">
        <v>1962</v>
      </c>
      <c r="H842">
        <v>663</v>
      </c>
      <c r="I842">
        <v>0.68799999999999994</v>
      </c>
      <c r="J842">
        <v>24.995999999999999</v>
      </c>
      <c r="K842">
        <v>0</v>
      </c>
    </row>
    <row r="843" spans="1:11">
      <c r="A843">
        <v>10094</v>
      </c>
      <c r="B843" t="s">
        <v>1097</v>
      </c>
      <c r="C843" t="s">
        <v>679</v>
      </c>
      <c r="E843" t="s">
        <v>487</v>
      </c>
      <c r="F843">
        <v>69</v>
      </c>
      <c r="G843">
        <v>1949</v>
      </c>
      <c r="H843">
        <v>504</v>
      </c>
      <c r="I843">
        <v>2.8450000000000002</v>
      </c>
      <c r="J843">
        <v>149.92699999999999</v>
      </c>
      <c r="K843">
        <v>46</v>
      </c>
    </row>
    <row r="844" spans="1:11">
      <c r="A844">
        <v>14066</v>
      </c>
      <c r="B844" t="s">
        <v>1697</v>
      </c>
      <c r="C844" t="s">
        <v>543</v>
      </c>
      <c r="E844" t="s">
        <v>1197</v>
      </c>
      <c r="F844">
        <v>2</v>
      </c>
      <c r="G844">
        <v>1972</v>
      </c>
      <c r="H844">
        <v>594</v>
      </c>
      <c r="I844">
        <v>2.4060000000000001</v>
      </c>
      <c r="J844">
        <v>71.581999999999994</v>
      </c>
      <c r="K844">
        <v>0</v>
      </c>
    </row>
    <row r="845" spans="1:11">
      <c r="A845">
        <v>11037</v>
      </c>
      <c r="B845" t="s">
        <v>1098</v>
      </c>
      <c r="C845" t="s">
        <v>1099</v>
      </c>
      <c r="E845" t="s">
        <v>501</v>
      </c>
      <c r="F845">
        <v>1</v>
      </c>
      <c r="G845">
        <v>1983</v>
      </c>
      <c r="H845">
        <v>86</v>
      </c>
      <c r="I845">
        <v>36.25</v>
      </c>
      <c r="J845">
        <v>2004.992</v>
      </c>
      <c r="K845">
        <v>547</v>
      </c>
    </row>
    <row r="846" spans="1:11">
      <c r="A846">
        <v>26041</v>
      </c>
      <c r="B846" t="s">
        <v>1100</v>
      </c>
      <c r="C846" t="s">
        <v>816</v>
      </c>
      <c r="D846" t="s">
        <v>107</v>
      </c>
      <c r="E846" t="s">
        <v>1209</v>
      </c>
      <c r="F846">
        <v>28</v>
      </c>
      <c r="G846">
        <v>1953</v>
      </c>
      <c r="H846">
        <v>673</v>
      </c>
      <c r="I846">
        <v>0.68799999999999994</v>
      </c>
      <c r="J846">
        <v>21.559000000000001</v>
      </c>
      <c r="K846">
        <v>0</v>
      </c>
    </row>
    <row r="847" spans="1:11">
      <c r="A847">
        <v>20689</v>
      </c>
      <c r="B847" t="s">
        <v>1101</v>
      </c>
      <c r="C847" t="s">
        <v>597</v>
      </c>
      <c r="E847" t="s">
        <v>155</v>
      </c>
      <c r="F847">
        <v>22</v>
      </c>
      <c r="G847">
        <v>1959</v>
      </c>
      <c r="H847">
        <v>890</v>
      </c>
      <c r="I847">
        <v>0</v>
      </c>
      <c r="J847">
        <v>0</v>
      </c>
      <c r="K847">
        <v>0</v>
      </c>
    </row>
    <row r="848" spans="1:11">
      <c r="A848">
        <v>14094</v>
      </c>
      <c r="B848" t="s">
        <v>1698</v>
      </c>
      <c r="C848" t="s">
        <v>597</v>
      </c>
      <c r="E848" t="s">
        <v>163</v>
      </c>
      <c r="F848">
        <v>43</v>
      </c>
      <c r="G848">
        <v>1954</v>
      </c>
      <c r="H848">
        <v>55</v>
      </c>
      <c r="I848">
        <v>32.563000000000002</v>
      </c>
      <c r="J848">
        <v>2408.482</v>
      </c>
      <c r="K848">
        <v>1012</v>
      </c>
    </row>
    <row r="849" spans="1:11">
      <c r="A849">
        <v>23060</v>
      </c>
      <c r="B849" t="s">
        <v>1102</v>
      </c>
      <c r="C849" t="s">
        <v>584</v>
      </c>
      <c r="E849" t="s">
        <v>475</v>
      </c>
      <c r="F849">
        <v>63</v>
      </c>
      <c r="G849">
        <v>1954</v>
      </c>
      <c r="H849">
        <v>119</v>
      </c>
      <c r="I849">
        <v>27.282</v>
      </c>
      <c r="J849">
        <v>1739.4480000000001</v>
      </c>
      <c r="K849">
        <v>759</v>
      </c>
    </row>
    <row r="850" spans="1:11">
      <c r="A850">
        <v>29043</v>
      </c>
      <c r="B850" t="s">
        <v>1699</v>
      </c>
      <c r="C850" t="s">
        <v>679</v>
      </c>
      <c r="E850" t="s">
        <v>1197</v>
      </c>
      <c r="F850">
        <v>2</v>
      </c>
      <c r="G850">
        <v>1953</v>
      </c>
      <c r="H850">
        <v>891</v>
      </c>
      <c r="I850">
        <v>0</v>
      </c>
      <c r="J850">
        <v>0</v>
      </c>
      <c r="K850">
        <v>0</v>
      </c>
    </row>
    <row r="851" spans="1:11">
      <c r="A851">
        <v>16004</v>
      </c>
      <c r="B851" t="s">
        <v>1700</v>
      </c>
      <c r="C851" t="s">
        <v>1692</v>
      </c>
      <c r="D851" t="s">
        <v>91</v>
      </c>
      <c r="E851" t="s">
        <v>475</v>
      </c>
      <c r="F851">
        <v>63</v>
      </c>
      <c r="G851">
        <v>2003</v>
      </c>
      <c r="H851">
        <v>457</v>
      </c>
      <c r="I851">
        <v>5.0960000000000001</v>
      </c>
      <c r="J851">
        <v>202.72399999999999</v>
      </c>
      <c r="K851">
        <v>21</v>
      </c>
    </row>
    <row r="852" spans="1:11">
      <c r="A852">
        <v>15048</v>
      </c>
      <c r="B852" t="s">
        <v>1103</v>
      </c>
      <c r="C852" t="s">
        <v>589</v>
      </c>
      <c r="D852" t="s">
        <v>91</v>
      </c>
      <c r="E852" t="s">
        <v>1397</v>
      </c>
      <c r="F852">
        <v>6</v>
      </c>
      <c r="G852">
        <v>2001</v>
      </c>
      <c r="H852">
        <v>494</v>
      </c>
      <c r="I852">
        <v>1.75</v>
      </c>
      <c r="J852">
        <v>162.67500000000001</v>
      </c>
      <c r="K852">
        <v>84</v>
      </c>
    </row>
    <row r="853" spans="1:11">
      <c r="A853">
        <v>97294</v>
      </c>
      <c r="B853" t="s">
        <v>1103</v>
      </c>
      <c r="C853" t="s">
        <v>572</v>
      </c>
      <c r="E853" t="s">
        <v>156</v>
      </c>
      <c r="F853">
        <v>6</v>
      </c>
      <c r="G853">
        <v>1968</v>
      </c>
      <c r="H853">
        <v>407</v>
      </c>
      <c r="I853">
        <v>6.0780000000000003</v>
      </c>
      <c r="J853">
        <v>290.59899999999999</v>
      </c>
      <c r="K853">
        <v>84</v>
      </c>
    </row>
    <row r="854" spans="1:11">
      <c r="A854">
        <v>96117</v>
      </c>
      <c r="B854" t="s">
        <v>1104</v>
      </c>
      <c r="C854" t="s">
        <v>551</v>
      </c>
      <c r="E854" t="s">
        <v>484</v>
      </c>
      <c r="F854">
        <v>7</v>
      </c>
      <c r="G854">
        <v>1961</v>
      </c>
      <c r="H854">
        <v>892</v>
      </c>
      <c r="I854">
        <v>0</v>
      </c>
      <c r="J854">
        <v>0</v>
      </c>
      <c r="K854">
        <v>0</v>
      </c>
    </row>
    <row r="855" spans="1:11">
      <c r="A855">
        <v>13047</v>
      </c>
      <c r="B855" t="s">
        <v>1251</v>
      </c>
      <c r="C855" t="s">
        <v>813</v>
      </c>
      <c r="E855" t="s">
        <v>1209</v>
      </c>
      <c r="F855">
        <v>28</v>
      </c>
      <c r="G855">
        <v>1957</v>
      </c>
      <c r="H855">
        <v>331</v>
      </c>
      <c r="I855">
        <v>10.188000000000001</v>
      </c>
      <c r="J855">
        <v>460.01900000000001</v>
      </c>
      <c r="K855">
        <v>89</v>
      </c>
    </row>
    <row r="856" spans="1:11">
      <c r="A856">
        <v>11031</v>
      </c>
      <c r="B856" t="s">
        <v>1105</v>
      </c>
      <c r="C856" t="s">
        <v>564</v>
      </c>
      <c r="E856" t="s">
        <v>1197</v>
      </c>
      <c r="F856">
        <v>2</v>
      </c>
      <c r="G856">
        <v>1966</v>
      </c>
      <c r="H856">
        <v>178</v>
      </c>
      <c r="I856">
        <v>14.843999999999999</v>
      </c>
      <c r="J856">
        <v>1188.0129999999999</v>
      </c>
      <c r="K856">
        <v>510</v>
      </c>
    </row>
    <row r="857" spans="1:11">
      <c r="A857">
        <v>21861</v>
      </c>
      <c r="B857" t="s">
        <v>1252</v>
      </c>
      <c r="C857" t="s">
        <v>572</v>
      </c>
      <c r="E857" t="s">
        <v>216</v>
      </c>
      <c r="F857">
        <v>33</v>
      </c>
      <c r="G857">
        <v>1962</v>
      </c>
      <c r="H857">
        <v>436</v>
      </c>
      <c r="I857">
        <v>7.1890000000000001</v>
      </c>
      <c r="J857">
        <v>236.37700000000001</v>
      </c>
      <c r="K857">
        <v>0</v>
      </c>
    </row>
    <row r="858" spans="1:11">
      <c r="A858">
        <v>22012</v>
      </c>
      <c r="B858" t="s">
        <v>1106</v>
      </c>
      <c r="C858" t="s">
        <v>543</v>
      </c>
      <c r="E858" t="s">
        <v>163</v>
      </c>
      <c r="F858">
        <v>43</v>
      </c>
      <c r="G858">
        <v>1980</v>
      </c>
      <c r="H858">
        <v>154</v>
      </c>
      <c r="I858">
        <v>16.125</v>
      </c>
      <c r="J858">
        <v>1383.443</v>
      </c>
      <c r="K858">
        <v>687</v>
      </c>
    </row>
    <row r="859" spans="1:11">
      <c r="A859">
        <v>24281</v>
      </c>
      <c r="B859" t="s">
        <v>1106</v>
      </c>
      <c r="C859" t="s">
        <v>543</v>
      </c>
      <c r="E859" t="s">
        <v>164</v>
      </c>
      <c r="F859">
        <v>52</v>
      </c>
      <c r="G859">
        <v>1969</v>
      </c>
      <c r="H859">
        <v>209</v>
      </c>
      <c r="I859">
        <v>20.844999999999999</v>
      </c>
      <c r="J859">
        <v>1030.104</v>
      </c>
      <c r="K859">
        <v>291</v>
      </c>
    </row>
    <row r="860" spans="1:11">
      <c r="A860">
        <v>14052</v>
      </c>
      <c r="B860" t="s">
        <v>1701</v>
      </c>
      <c r="C860" t="s">
        <v>638</v>
      </c>
      <c r="D860" t="s">
        <v>107</v>
      </c>
      <c r="E860" t="s">
        <v>1466</v>
      </c>
      <c r="F860">
        <v>77</v>
      </c>
      <c r="G860">
        <v>1970</v>
      </c>
      <c r="H860">
        <v>90</v>
      </c>
      <c r="I860">
        <v>29.626000000000001</v>
      </c>
      <c r="J860">
        <v>1972.075</v>
      </c>
      <c r="K860">
        <v>888</v>
      </c>
    </row>
    <row r="861" spans="1:11">
      <c r="A861">
        <v>14069</v>
      </c>
      <c r="B861" t="s">
        <v>1702</v>
      </c>
      <c r="C861" t="s">
        <v>636</v>
      </c>
      <c r="D861" t="s">
        <v>107</v>
      </c>
      <c r="E861" t="s">
        <v>1466</v>
      </c>
      <c r="F861">
        <v>77</v>
      </c>
      <c r="G861">
        <v>1960</v>
      </c>
      <c r="H861">
        <v>893</v>
      </c>
      <c r="I861">
        <v>0</v>
      </c>
      <c r="J861">
        <v>0</v>
      </c>
      <c r="K861">
        <v>0</v>
      </c>
    </row>
    <row r="862" spans="1:11">
      <c r="A862">
        <v>21795</v>
      </c>
      <c r="B862" t="s">
        <v>1703</v>
      </c>
      <c r="C862" t="s">
        <v>1704</v>
      </c>
      <c r="E862" t="s">
        <v>477</v>
      </c>
      <c r="F862">
        <v>27</v>
      </c>
      <c r="G862">
        <v>1956</v>
      </c>
      <c r="H862">
        <v>156</v>
      </c>
      <c r="I862">
        <v>18.655999999999999</v>
      </c>
      <c r="J862">
        <v>1371.9169999999999</v>
      </c>
      <c r="K862">
        <v>641</v>
      </c>
    </row>
    <row r="863" spans="1:11">
      <c r="A863">
        <v>16127</v>
      </c>
      <c r="B863" t="s">
        <v>1705</v>
      </c>
      <c r="C863" t="s">
        <v>971</v>
      </c>
      <c r="D863" t="s">
        <v>655</v>
      </c>
      <c r="E863" t="s">
        <v>1197</v>
      </c>
      <c r="F863">
        <v>2</v>
      </c>
      <c r="G863">
        <v>2008</v>
      </c>
      <c r="H863">
        <v>895</v>
      </c>
      <c r="I863">
        <v>0</v>
      </c>
      <c r="J863">
        <v>0</v>
      </c>
      <c r="K863">
        <v>0</v>
      </c>
    </row>
    <row r="864" spans="1:11">
      <c r="A864">
        <v>16126</v>
      </c>
      <c r="B864" t="s">
        <v>1705</v>
      </c>
      <c r="C864" t="s">
        <v>555</v>
      </c>
      <c r="D864" t="s">
        <v>655</v>
      </c>
      <c r="E864" t="s">
        <v>1197</v>
      </c>
      <c r="F864">
        <v>2</v>
      </c>
      <c r="G864">
        <v>2010</v>
      </c>
      <c r="H864">
        <v>894</v>
      </c>
      <c r="I864">
        <v>0</v>
      </c>
      <c r="J864">
        <v>0</v>
      </c>
      <c r="K864">
        <v>0</v>
      </c>
    </row>
    <row r="865" spans="1:11">
      <c r="A865">
        <v>14054</v>
      </c>
      <c r="B865" t="s">
        <v>1706</v>
      </c>
      <c r="C865" t="s">
        <v>581</v>
      </c>
      <c r="E865" t="s">
        <v>484</v>
      </c>
      <c r="F865">
        <v>7</v>
      </c>
      <c r="G865">
        <v>1962</v>
      </c>
      <c r="H865">
        <v>586</v>
      </c>
      <c r="I865">
        <v>3.25</v>
      </c>
      <c r="J865">
        <v>74.031999999999996</v>
      </c>
      <c r="K865">
        <v>0</v>
      </c>
    </row>
    <row r="866" spans="1:11">
      <c r="A866">
        <v>98439</v>
      </c>
      <c r="B866" t="s">
        <v>1707</v>
      </c>
      <c r="C866" t="s">
        <v>549</v>
      </c>
      <c r="E866" t="s">
        <v>172</v>
      </c>
      <c r="F866">
        <v>48</v>
      </c>
      <c r="G866">
        <v>1978</v>
      </c>
      <c r="H866">
        <v>896</v>
      </c>
      <c r="I866">
        <v>0</v>
      </c>
      <c r="J866">
        <v>0</v>
      </c>
      <c r="K866">
        <v>0</v>
      </c>
    </row>
    <row r="867" spans="1:11">
      <c r="A867">
        <v>14058</v>
      </c>
      <c r="B867" t="s">
        <v>1708</v>
      </c>
      <c r="C867" t="s">
        <v>552</v>
      </c>
      <c r="E867" t="s">
        <v>172</v>
      </c>
      <c r="F867">
        <v>48</v>
      </c>
      <c r="G867">
        <v>1962</v>
      </c>
      <c r="H867">
        <v>628</v>
      </c>
      <c r="I867">
        <v>1.5</v>
      </c>
      <c r="J867">
        <v>47.420999999999999</v>
      </c>
      <c r="K867">
        <v>0</v>
      </c>
    </row>
    <row r="868" spans="1:11">
      <c r="A868">
        <v>14059</v>
      </c>
      <c r="B868" t="s">
        <v>1709</v>
      </c>
      <c r="C868" t="s">
        <v>1032</v>
      </c>
      <c r="D868" t="s">
        <v>107</v>
      </c>
      <c r="E868" t="s">
        <v>172</v>
      </c>
      <c r="F868">
        <v>48</v>
      </c>
      <c r="G868">
        <v>1965</v>
      </c>
      <c r="H868">
        <v>629</v>
      </c>
      <c r="I868">
        <v>1.5</v>
      </c>
      <c r="J868">
        <v>47.420999999999999</v>
      </c>
      <c r="K868">
        <v>0</v>
      </c>
    </row>
    <row r="869" spans="1:11">
      <c r="A869">
        <v>13061</v>
      </c>
      <c r="B869" t="s">
        <v>1253</v>
      </c>
      <c r="C869" t="s">
        <v>816</v>
      </c>
      <c r="D869" t="s">
        <v>107</v>
      </c>
      <c r="E869" t="s">
        <v>487</v>
      </c>
      <c r="F869">
        <v>69</v>
      </c>
      <c r="G869">
        <v>1950</v>
      </c>
      <c r="H869">
        <v>150</v>
      </c>
      <c r="I869">
        <v>20.751000000000001</v>
      </c>
      <c r="J869">
        <v>1471.3579999999999</v>
      </c>
      <c r="K869">
        <v>625</v>
      </c>
    </row>
    <row r="870" spans="1:11">
      <c r="A870">
        <v>12073</v>
      </c>
      <c r="B870" t="s">
        <v>1254</v>
      </c>
      <c r="C870" t="s">
        <v>1255</v>
      </c>
      <c r="D870" t="s">
        <v>107</v>
      </c>
      <c r="E870" t="s">
        <v>1203</v>
      </c>
      <c r="F870">
        <v>55</v>
      </c>
      <c r="G870">
        <v>1975</v>
      </c>
      <c r="H870">
        <v>122</v>
      </c>
      <c r="I870">
        <v>18.579000000000001</v>
      </c>
      <c r="J870">
        <v>1712.838</v>
      </c>
      <c r="K870">
        <v>911</v>
      </c>
    </row>
    <row r="871" spans="1:11">
      <c r="A871">
        <v>25075</v>
      </c>
      <c r="B871" t="s">
        <v>1107</v>
      </c>
      <c r="C871" t="s">
        <v>551</v>
      </c>
      <c r="E871" t="s">
        <v>1203</v>
      </c>
      <c r="F871">
        <v>55</v>
      </c>
      <c r="G871">
        <v>1958</v>
      </c>
      <c r="H871">
        <v>147</v>
      </c>
      <c r="I871">
        <v>16.594999999999999</v>
      </c>
      <c r="J871">
        <v>1487.98</v>
      </c>
      <c r="K871">
        <v>752</v>
      </c>
    </row>
    <row r="872" spans="1:11">
      <c r="A872">
        <v>16010</v>
      </c>
      <c r="B872" t="s">
        <v>1710</v>
      </c>
      <c r="C872" t="s">
        <v>695</v>
      </c>
      <c r="D872" t="s">
        <v>107</v>
      </c>
      <c r="E872" t="s">
        <v>1466</v>
      </c>
      <c r="F872">
        <v>77</v>
      </c>
      <c r="G872">
        <v>1962</v>
      </c>
      <c r="H872">
        <v>140</v>
      </c>
      <c r="I872">
        <v>23.876000000000001</v>
      </c>
      <c r="J872">
        <v>1529.8710000000001</v>
      </c>
      <c r="K872">
        <v>551</v>
      </c>
    </row>
    <row r="873" spans="1:11">
      <c r="A873">
        <v>99600</v>
      </c>
      <c r="B873" t="s">
        <v>1108</v>
      </c>
      <c r="C873" t="s">
        <v>552</v>
      </c>
      <c r="E873" t="s">
        <v>200</v>
      </c>
      <c r="F873">
        <v>19</v>
      </c>
      <c r="G873">
        <v>1966</v>
      </c>
      <c r="H873">
        <v>174</v>
      </c>
      <c r="I873">
        <v>19.797000000000001</v>
      </c>
      <c r="J873">
        <v>1219.7829999999999</v>
      </c>
      <c r="K873">
        <v>400</v>
      </c>
    </row>
    <row r="874" spans="1:11">
      <c r="A874">
        <v>15080</v>
      </c>
      <c r="B874" t="s">
        <v>1711</v>
      </c>
      <c r="C874" t="s">
        <v>788</v>
      </c>
      <c r="E874" t="s">
        <v>489</v>
      </c>
      <c r="F874">
        <v>13</v>
      </c>
      <c r="G874">
        <v>1983</v>
      </c>
      <c r="H874">
        <v>411</v>
      </c>
      <c r="I874">
        <v>5.8440000000000003</v>
      </c>
      <c r="J874">
        <v>285.09300000000002</v>
      </c>
      <c r="K874">
        <v>78</v>
      </c>
    </row>
    <row r="875" spans="1:11">
      <c r="A875">
        <v>97297</v>
      </c>
      <c r="B875" t="s">
        <v>1109</v>
      </c>
      <c r="C875" t="s">
        <v>564</v>
      </c>
      <c r="E875" t="s">
        <v>198</v>
      </c>
      <c r="F875">
        <v>17</v>
      </c>
      <c r="G875">
        <v>1959</v>
      </c>
      <c r="H875">
        <v>593</v>
      </c>
      <c r="I875">
        <v>0.75</v>
      </c>
      <c r="J875">
        <v>72.453999999999994</v>
      </c>
      <c r="K875">
        <v>38</v>
      </c>
    </row>
    <row r="876" spans="1:11">
      <c r="A876">
        <v>99537</v>
      </c>
      <c r="B876" t="s">
        <v>1109</v>
      </c>
      <c r="C876" t="s">
        <v>558</v>
      </c>
      <c r="E876" t="s">
        <v>198</v>
      </c>
      <c r="F876">
        <v>17</v>
      </c>
      <c r="G876">
        <v>1986</v>
      </c>
      <c r="H876">
        <v>897</v>
      </c>
      <c r="I876">
        <v>0</v>
      </c>
      <c r="J876">
        <v>0</v>
      </c>
      <c r="K876">
        <v>0</v>
      </c>
    </row>
    <row r="877" spans="1:11">
      <c r="A877">
        <v>21813</v>
      </c>
      <c r="B877" t="s">
        <v>1110</v>
      </c>
      <c r="C877" t="s">
        <v>537</v>
      </c>
      <c r="D877" t="s">
        <v>107</v>
      </c>
      <c r="E877" t="s">
        <v>198</v>
      </c>
      <c r="F877">
        <v>17</v>
      </c>
      <c r="G877">
        <v>1988</v>
      </c>
      <c r="H877">
        <v>19</v>
      </c>
      <c r="I877">
        <v>41.625</v>
      </c>
      <c r="J877">
        <v>3198.74</v>
      </c>
      <c r="K877">
        <v>1263</v>
      </c>
    </row>
    <row r="878" spans="1:11">
      <c r="A878">
        <v>98352</v>
      </c>
      <c r="B878" t="s">
        <v>1111</v>
      </c>
      <c r="C878" t="s">
        <v>610</v>
      </c>
      <c r="D878" t="s">
        <v>107</v>
      </c>
      <c r="E878" t="s">
        <v>501</v>
      </c>
      <c r="F878">
        <v>1</v>
      </c>
      <c r="G878">
        <v>1967</v>
      </c>
      <c r="H878">
        <v>445</v>
      </c>
      <c r="I878">
        <v>6.75</v>
      </c>
      <c r="J878">
        <v>215.916</v>
      </c>
      <c r="K878">
        <v>0</v>
      </c>
    </row>
    <row r="879" spans="1:11">
      <c r="A879">
        <v>13071</v>
      </c>
      <c r="B879" t="s">
        <v>1712</v>
      </c>
      <c r="C879" t="s">
        <v>663</v>
      </c>
      <c r="D879" t="s">
        <v>655</v>
      </c>
      <c r="E879" t="s">
        <v>501</v>
      </c>
      <c r="F879">
        <v>1</v>
      </c>
      <c r="G879">
        <v>2001</v>
      </c>
      <c r="H879">
        <v>898</v>
      </c>
      <c r="I879">
        <v>0</v>
      </c>
      <c r="J879">
        <v>0</v>
      </c>
      <c r="K879">
        <v>0</v>
      </c>
    </row>
    <row r="880" spans="1:11">
      <c r="A880">
        <v>96030</v>
      </c>
      <c r="B880" t="s">
        <v>1112</v>
      </c>
      <c r="C880" t="s">
        <v>572</v>
      </c>
      <c r="E880" t="s">
        <v>501</v>
      </c>
      <c r="F880">
        <v>1</v>
      </c>
      <c r="G880">
        <v>1950</v>
      </c>
      <c r="H880">
        <v>571</v>
      </c>
      <c r="I880">
        <v>2</v>
      </c>
      <c r="J880">
        <v>88.233999999999995</v>
      </c>
      <c r="K880">
        <v>0</v>
      </c>
    </row>
    <row r="881" spans="1:11">
      <c r="A881">
        <v>24232</v>
      </c>
      <c r="B881" t="s">
        <v>1113</v>
      </c>
      <c r="C881" t="s">
        <v>679</v>
      </c>
      <c r="E881" t="s">
        <v>497</v>
      </c>
      <c r="F881">
        <v>51</v>
      </c>
      <c r="G881">
        <v>1970</v>
      </c>
      <c r="H881">
        <v>899</v>
      </c>
      <c r="I881">
        <v>0</v>
      </c>
      <c r="J881">
        <v>0</v>
      </c>
      <c r="K881">
        <v>0</v>
      </c>
    </row>
    <row r="882" spans="1:11">
      <c r="A882">
        <v>15041</v>
      </c>
      <c r="B882" t="s">
        <v>1713</v>
      </c>
      <c r="C882" t="s">
        <v>741</v>
      </c>
      <c r="E882" t="s">
        <v>172</v>
      </c>
      <c r="F882">
        <v>48</v>
      </c>
      <c r="G882">
        <v>1963</v>
      </c>
      <c r="H882">
        <v>212</v>
      </c>
      <c r="I882">
        <v>10.845000000000001</v>
      </c>
      <c r="J882">
        <v>990.87400000000002</v>
      </c>
      <c r="K882">
        <v>485</v>
      </c>
    </row>
    <row r="883" spans="1:11">
      <c r="A883">
        <v>17081</v>
      </c>
      <c r="B883" t="s">
        <v>1714</v>
      </c>
      <c r="C883" t="s">
        <v>636</v>
      </c>
      <c r="D883" t="s">
        <v>107</v>
      </c>
      <c r="E883" t="s">
        <v>1210</v>
      </c>
      <c r="F883">
        <v>42</v>
      </c>
      <c r="G883">
        <v>1945</v>
      </c>
      <c r="H883">
        <v>900</v>
      </c>
      <c r="I883">
        <v>0</v>
      </c>
      <c r="J883">
        <v>0</v>
      </c>
      <c r="K883">
        <v>0</v>
      </c>
    </row>
    <row r="884" spans="1:11">
      <c r="A884">
        <v>15075</v>
      </c>
      <c r="B884" t="s">
        <v>1715</v>
      </c>
      <c r="C884" t="s">
        <v>580</v>
      </c>
      <c r="D884" t="s">
        <v>107</v>
      </c>
      <c r="E884" t="s">
        <v>501</v>
      </c>
      <c r="F884">
        <v>1</v>
      </c>
      <c r="G884">
        <v>1956</v>
      </c>
      <c r="H884">
        <v>549</v>
      </c>
      <c r="I884">
        <v>3.0950000000000002</v>
      </c>
      <c r="J884">
        <v>101.619</v>
      </c>
      <c r="K884">
        <v>0</v>
      </c>
    </row>
    <row r="885" spans="1:11">
      <c r="A885">
        <v>96205</v>
      </c>
      <c r="B885" t="s">
        <v>1114</v>
      </c>
      <c r="C885" t="s">
        <v>589</v>
      </c>
      <c r="E885" t="s">
        <v>501</v>
      </c>
      <c r="F885">
        <v>1</v>
      </c>
      <c r="G885">
        <v>1953</v>
      </c>
      <c r="H885">
        <v>419</v>
      </c>
      <c r="I885">
        <v>6.8440000000000003</v>
      </c>
      <c r="J885">
        <v>269.03800000000001</v>
      </c>
      <c r="K885">
        <v>32</v>
      </c>
    </row>
    <row r="886" spans="1:11">
      <c r="A886">
        <v>15066</v>
      </c>
      <c r="B886" t="s">
        <v>1114</v>
      </c>
      <c r="C886" t="s">
        <v>541</v>
      </c>
      <c r="D886" t="s">
        <v>91</v>
      </c>
      <c r="E886" t="s">
        <v>501</v>
      </c>
      <c r="F886">
        <v>1</v>
      </c>
      <c r="G886">
        <v>2005</v>
      </c>
      <c r="H886">
        <v>686</v>
      </c>
      <c r="I886">
        <v>0.375</v>
      </c>
      <c r="J886">
        <v>13.82</v>
      </c>
      <c r="K886">
        <v>0</v>
      </c>
    </row>
    <row r="887" spans="1:11">
      <c r="A887">
        <v>21789</v>
      </c>
      <c r="B887" t="s">
        <v>1115</v>
      </c>
      <c r="C887" t="s">
        <v>555</v>
      </c>
      <c r="D887" t="s">
        <v>107</v>
      </c>
      <c r="E887" t="s">
        <v>484</v>
      </c>
      <c r="F887">
        <v>7</v>
      </c>
      <c r="G887">
        <v>1968</v>
      </c>
      <c r="H887">
        <v>901</v>
      </c>
      <c r="I887">
        <v>0</v>
      </c>
      <c r="J887">
        <v>0</v>
      </c>
      <c r="K887">
        <v>0</v>
      </c>
    </row>
    <row r="888" spans="1:11">
      <c r="A888">
        <v>20713</v>
      </c>
      <c r="B888" t="s">
        <v>1116</v>
      </c>
      <c r="C888" t="s">
        <v>621</v>
      </c>
      <c r="E888" t="s">
        <v>470</v>
      </c>
      <c r="F888">
        <v>20</v>
      </c>
      <c r="G888">
        <v>1949</v>
      </c>
      <c r="H888">
        <v>902</v>
      </c>
      <c r="I888">
        <v>0</v>
      </c>
      <c r="J888">
        <v>0</v>
      </c>
      <c r="K888">
        <v>0</v>
      </c>
    </row>
    <row r="889" spans="1:11">
      <c r="A889">
        <v>10125</v>
      </c>
      <c r="B889" t="s">
        <v>1117</v>
      </c>
      <c r="C889" t="s">
        <v>614</v>
      </c>
      <c r="D889" t="s">
        <v>107</v>
      </c>
      <c r="E889" t="s">
        <v>1200</v>
      </c>
      <c r="F889">
        <v>70</v>
      </c>
      <c r="G889">
        <v>1949</v>
      </c>
      <c r="H889">
        <v>903</v>
      </c>
      <c r="I889">
        <v>0</v>
      </c>
      <c r="J889">
        <v>0</v>
      </c>
      <c r="K889">
        <v>0</v>
      </c>
    </row>
    <row r="890" spans="1:11">
      <c r="A890">
        <v>21840</v>
      </c>
      <c r="B890" t="s">
        <v>1118</v>
      </c>
      <c r="C890" t="s">
        <v>564</v>
      </c>
      <c r="E890" t="s">
        <v>172</v>
      </c>
      <c r="F890">
        <v>48</v>
      </c>
      <c r="G890">
        <v>1961</v>
      </c>
      <c r="H890">
        <v>904</v>
      </c>
      <c r="I890">
        <v>0</v>
      </c>
      <c r="J890">
        <v>0</v>
      </c>
      <c r="K890">
        <v>0</v>
      </c>
    </row>
    <row r="891" spans="1:11">
      <c r="A891">
        <v>21842</v>
      </c>
      <c r="B891" t="s">
        <v>1119</v>
      </c>
      <c r="C891" t="s">
        <v>555</v>
      </c>
      <c r="D891" t="s">
        <v>107</v>
      </c>
      <c r="E891" t="s">
        <v>172</v>
      </c>
      <c r="F891">
        <v>48</v>
      </c>
      <c r="G891">
        <v>1959</v>
      </c>
      <c r="H891">
        <v>905</v>
      </c>
      <c r="I891">
        <v>0</v>
      </c>
      <c r="J891">
        <v>0</v>
      </c>
      <c r="K891">
        <v>0</v>
      </c>
    </row>
    <row r="892" spans="1:11">
      <c r="A892">
        <v>21819</v>
      </c>
      <c r="B892" t="s">
        <v>1120</v>
      </c>
      <c r="C892" t="s">
        <v>590</v>
      </c>
      <c r="E892" t="s">
        <v>1234</v>
      </c>
      <c r="F892">
        <v>36</v>
      </c>
      <c r="G892">
        <v>1952</v>
      </c>
      <c r="H892">
        <v>906</v>
      </c>
      <c r="I892">
        <v>0</v>
      </c>
      <c r="J892">
        <v>0</v>
      </c>
      <c r="K892">
        <v>0</v>
      </c>
    </row>
    <row r="893" spans="1:11">
      <c r="A893">
        <v>10047</v>
      </c>
      <c r="B893" t="s">
        <v>1121</v>
      </c>
      <c r="C893" t="s">
        <v>758</v>
      </c>
      <c r="E893" t="s">
        <v>475</v>
      </c>
      <c r="F893">
        <v>63</v>
      </c>
      <c r="G893">
        <v>1997</v>
      </c>
      <c r="H893">
        <v>263</v>
      </c>
      <c r="I893">
        <v>20.25</v>
      </c>
      <c r="J893">
        <v>697.15200000000004</v>
      </c>
      <c r="K893">
        <v>0</v>
      </c>
    </row>
    <row r="894" spans="1:11">
      <c r="A894">
        <v>13053</v>
      </c>
      <c r="B894" t="s">
        <v>1256</v>
      </c>
      <c r="C894" t="s">
        <v>636</v>
      </c>
      <c r="D894" t="s">
        <v>107</v>
      </c>
      <c r="E894" t="s">
        <v>1200</v>
      </c>
      <c r="F894">
        <v>70</v>
      </c>
      <c r="G894">
        <v>1946</v>
      </c>
      <c r="H894">
        <v>907</v>
      </c>
      <c r="I894">
        <v>0</v>
      </c>
      <c r="J894">
        <v>0</v>
      </c>
      <c r="K894">
        <v>0</v>
      </c>
    </row>
    <row r="895" spans="1:11">
      <c r="A895">
        <v>97272</v>
      </c>
      <c r="B895" t="s">
        <v>1122</v>
      </c>
      <c r="C895" t="s">
        <v>584</v>
      </c>
      <c r="E895" t="s">
        <v>501</v>
      </c>
      <c r="F895">
        <v>1</v>
      </c>
      <c r="G895">
        <v>1957</v>
      </c>
      <c r="H895">
        <v>336</v>
      </c>
      <c r="I895">
        <v>7.8440000000000003</v>
      </c>
      <c r="J895">
        <v>449.85199999999998</v>
      </c>
      <c r="K895">
        <v>153</v>
      </c>
    </row>
    <row r="896" spans="1:11">
      <c r="A896">
        <v>15068</v>
      </c>
      <c r="B896" t="s">
        <v>1716</v>
      </c>
      <c r="C896" t="s">
        <v>788</v>
      </c>
      <c r="E896" t="s">
        <v>1206</v>
      </c>
      <c r="F896">
        <v>24</v>
      </c>
      <c r="G896">
        <v>1956</v>
      </c>
      <c r="H896">
        <v>132</v>
      </c>
      <c r="I896">
        <v>18.876999999999999</v>
      </c>
      <c r="J896">
        <v>1638.5250000000001</v>
      </c>
      <c r="K896">
        <v>844</v>
      </c>
    </row>
    <row r="897" spans="1:11">
      <c r="A897">
        <v>97262</v>
      </c>
      <c r="B897" t="s">
        <v>1123</v>
      </c>
      <c r="C897" t="s">
        <v>846</v>
      </c>
      <c r="D897" t="s">
        <v>107</v>
      </c>
      <c r="E897" t="s">
        <v>1209</v>
      </c>
      <c r="F897">
        <v>28</v>
      </c>
      <c r="G897">
        <v>1964</v>
      </c>
      <c r="H897">
        <v>282</v>
      </c>
      <c r="I897">
        <v>10.375999999999999</v>
      </c>
      <c r="J897">
        <v>648.97299999999996</v>
      </c>
      <c r="K897">
        <v>250</v>
      </c>
    </row>
    <row r="898" spans="1:11">
      <c r="A898">
        <v>21820</v>
      </c>
      <c r="B898" t="s">
        <v>1124</v>
      </c>
      <c r="C898" t="s">
        <v>1041</v>
      </c>
      <c r="E898" t="s">
        <v>1234</v>
      </c>
      <c r="F898">
        <v>36</v>
      </c>
      <c r="G898">
        <v>1959</v>
      </c>
      <c r="H898">
        <v>908</v>
      </c>
      <c r="I898">
        <v>0</v>
      </c>
      <c r="J898">
        <v>0</v>
      </c>
      <c r="K898">
        <v>0</v>
      </c>
    </row>
    <row r="899" spans="1:11">
      <c r="A899">
        <v>16012</v>
      </c>
      <c r="B899" t="s">
        <v>1717</v>
      </c>
      <c r="C899" t="s">
        <v>531</v>
      </c>
      <c r="D899" t="s">
        <v>91</v>
      </c>
      <c r="E899" t="s">
        <v>1343</v>
      </c>
      <c r="F899">
        <v>79</v>
      </c>
      <c r="G899">
        <v>2001</v>
      </c>
      <c r="H899">
        <v>327</v>
      </c>
      <c r="I899">
        <v>5.7359999999999998</v>
      </c>
      <c r="J899">
        <v>472.60199999999998</v>
      </c>
      <c r="K899">
        <v>203</v>
      </c>
    </row>
    <row r="900" spans="1:11">
      <c r="A900">
        <v>17049</v>
      </c>
      <c r="B900" t="s">
        <v>1718</v>
      </c>
      <c r="C900" t="s">
        <v>572</v>
      </c>
      <c r="E900" t="s">
        <v>1234</v>
      </c>
      <c r="F900">
        <v>36</v>
      </c>
      <c r="G900">
        <v>1951</v>
      </c>
      <c r="H900">
        <v>909</v>
      </c>
      <c r="I900">
        <v>0</v>
      </c>
      <c r="J900">
        <v>0</v>
      </c>
      <c r="K900">
        <v>0</v>
      </c>
    </row>
    <row r="901" spans="1:11">
      <c r="A901">
        <v>23087</v>
      </c>
      <c r="B901" t="s">
        <v>1125</v>
      </c>
      <c r="C901" t="s">
        <v>584</v>
      </c>
      <c r="E901" t="s">
        <v>163</v>
      </c>
      <c r="F901">
        <v>43</v>
      </c>
      <c r="G901">
        <v>1978</v>
      </c>
      <c r="H901">
        <v>910</v>
      </c>
      <c r="I901">
        <v>0</v>
      </c>
      <c r="J901">
        <v>0</v>
      </c>
      <c r="K901">
        <v>0</v>
      </c>
    </row>
    <row r="902" spans="1:11">
      <c r="A902">
        <v>15026</v>
      </c>
      <c r="B902" t="s">
        <v>1125</v>
      </c>
      <c r="C902" t="s">
        <v>564</v>
      </c>
      <c r="E902" t="s">
        <v>495</v>
      </c>
      <c r="F902">
        <v>64</v>
      </c>
      <c r="G902">
        <v>1964</v>
      </c>
      <c r="H902">
        <v>320</v>
      </c>
      <c r="I902">
        <v>6.9539999999999997</v>
      </c>
      <c r="J902">
        <v>502.80799999999999</v>
      </c>
      <c r="K902">
        <v>195</v>
      </c>
    </row>
    <row r="903" spans="1:11">
      <c r="A903">
        <v>16059</v>
      </c>
      <c r="B903" t="s">
        <v>1125</v>
      </c>
      <c r="C903" t="s">
        <v>553</v>
      </c>
      <c r="E903" t="s">
        <v>1487</v>
      </c>
      <c r="F903">
        <v>83</v>
      </c>
      <c r="G903">
        <v>1975</v>
      </c>
      <c r="H903">
        <v>250</v>
      </c>
      <c r="I903">
        <v>13.93</v>
      </c>
      <c r="J903">
        <v>765.50800000000004</v>
      </c>
      <c r="K903">
        <v>265</v>
      </c>
    </row>
    <row r="904" spans="1:11">
      <c r="A904">
        <v>24258</v>
      </c>
      <c r="B904" t="s">
        <v>1125</v>
      </c>
      <c r="C904" t="s">
        <v>1126</v>
      </c>
      <c r="E904" t="s">
        <v>501</v>
      </c>
      <c r="F904">
        <v>1</v>
      </c>
      <c r="G904">
        <v>1942</v>
      </c>
      <c r="H904">
        <v>589</v>
      </c>
      <c r="I904">
        <v>2.8130000000000002</v>
      </c>
      <c r="J904">
        <v>73.433999999999997</v>
      </c>
      <c r="K904">
        <v>0</v>
      </c>
    </row>
    <row r="905" spans="1:11">
      <c r="A905">
        <v>98369</v>
      </c>
      <c r="B905" t="s">
        <v>1127</v>
      </c>
      <c r="C905" t="s">
        <v>971</v>
      </c>
      <c r="D905" t="s">
        <v>107</v>
      </c>
      <c r="E905" t="s">
        <v>1209</v>
      </c>
      <c r="F905">
        <v>28</v>
      </c>
      <c r="G905">
        <v>1957</v>
      </c>
      <c r="H905">
        <v>911</v>
      </c>
      <c r="I905">
        <v>0</v>
      </c>
      <c r="J905">
        <v>0</v>
      </c>
      <c r="K905">
        <v>0</v>
      </c>
    </row>
    <row r="906" spans="1:11">
      <c r="A906">
        <v>24275</v>
      </c>
      <c r="B906" t="s">
        <v>1128</v>
      </c>
      <c r="C906" t="s">
        <v>758</v>
      </c>
      <c r="E906" t="s">
        <v>164</v>
      </c>
      <c r="F906">
        <v>52</v>
      </c>
      <c r="G906">
        <v>1963</v>
      </c>
      <c r="H906">
        <v>347</v>
      </c>
      <c r="I906">
        <v>7.6260000000000003</v>
      </c>
      <c r="J906">
        <v>406.24599999999998</v>
      </c>
      <c r="K906">
        <v>128</v>
      </c>
    </row>
    <row r="907" spans="1:11">
      <c r="A907">
        <v>14019</v>
      </c>
      <c r="B907" t="s">
        <v>1719</v>
      </c>
      <c r="C907" t="s">
        <v>668</v>
      </c>
      <c r="D907" t="s">
        <v>107</v>
      </c>
      <c r="E907" t="s">
        <v>472</v>
      </c>
      <c r="F907">
        <v>54</v>
      </c>
      <c r="G907">
        <v>1945</v>
      </c>
      <c r="H907">
        <v>105</v>
      </c>
      <c r="I907">
        <v>23.469000000000001</v>
      </c>
      <c r="J907">
        <v>1829.7329999999999</v>
      </c>
      <c r="K907">
        <v>955</v>
      </c>
    </row>
    <row r="908" spans="1:11">
      <c r="A908">
        <v>27080</v>
      </c>
      <c r="B908" t="s">
        <v>1129</v>
      </c>
      <c r="C908" t="s">
        <v>534</v>
      </c>
      <c r="E908" t="s">
        <v>1210</v>
      </c>
      <c r="F908">
        <v>42</v>
      </c>
      <c r="G908">
        <v>1970</v>
      </c>
      <c r="H908">
        <v>80</v>
      </c>
      <c r="I908">
        <v>32.625</v>
      </c>
      <c r="J908">
        <v>2091.0729999999999</v>
      </c>
      <c r="K908">
        <v>947</v>
      </c>
    </row>
    <row r="909" spans="1:11">
      <c r="A909">
        <v>15028</v>
      </c>
      <c r="B909" t="s">
        <v>1720</v>
      </c>
      <c r="C909" t="s">
        <v>558</v>
      </c>
      <c r="E909" t="s">
        <v>1343</v>
      </c>
      <c r="F909">
        <v>79</v>
      </c>
      <c r="G909">
        <v>1987</v>
      </c>
      <c r="H909">
        <v>197</v>
      </c>
      <c r="I909">
        <v>12.29</v>
      </c>
      <c r="J909">
        <v>1093.5229999999999</v>
      </c>
      <c r="K909">
        <v>540</v>
      </c>
    </row>
    <row r="910" spans="1:11">
      <c r="A910">
        <v>23086</v>
      </c>
      <c r="B910" t="s">
        <v>1130</v>
      </c>
      <c r="C910" t="s">
        <v>552</v>
      </c>
      <c r="E910" t="s">
        <v>163</v>
      </c>
      <c r="F910">
        <v>43</v>
      </c>
      <c r="G910">
        <v>1955</v>
      </c>
      <c r="H910">
        <v>46</v>
      </c>
      <c r="I910">
        <v>35.625</v>
      </c>
      <c r="J910">
        <v>2636.4270000000001</v>
      </c>
      <c r="K910">
        <v>1297</v>
      </c>
    </row>
    <row r="911" spans="1:11">
      <c r="A911">
        <v>16089</v>
      </c>
      <c r="B911" t="s">
        <v>1721</v>
      </c>
      <c r="C911" t="s">
        <v>1722</v>
      </c>
      <c r="E911" t="s">
        <v>1419</v>
      </c>
      <c r="F911">
        <v>84</v>
      </c>
      <c r="G911">
        <v>1944</v>
      </c>
      <c r="H911">
        <v>316</v>
      </c>
      <c r="I911">
        <v>11.798999999999999</v>
      </c>
      <c r="J911">
        <v>515.45699999999999</v>
      </c>
      <c r="K911">
        <v>68</v>
      </c>
    </row>
    <row r="912" spans="1:11">
      <c r="A912">
        <v>16090</v>
      </c>
      <c r="B912" t="s">
        <v>1723</v>
      </c>
      <c r="C912" t="s">
        <v>625</v>
      </c>
      <c r="D912" t="s">
        <v>107</v>
      </c>
      <c r="E912" t="s">
        <v>1419</v>
      </c>
      <c r="F912">
        <v>84</v>
      </c>
      <c r="G912">
        <v>1945</v>
      </c>
      <c r="H912">
        <v>314</v>
      </c>
      <c r="I912">
        <v>13.111000000000001</v>
      </c>
      <c r="J912">
        <v>528.73699999999997</v>
      </c>
      <c r="K912">
        <v>32</v>
      </c>
    </row>
    <row r="913" spans="1:11">
      <c r="A913">
        <v>26010</v>
      </c>
      <c r="B913" t="s">
        <v>1131</v>
      </c>
      <c r="C913" t="s">
        <v>564</v>
      </c>
      <c r="E913" t="s">
        <v>501</v>
      </c>
      <c r="F913">
        <v>1</v>
      </c>
      <c r="G913">
        <v>1953</v>
      </c>
      <c r="H913">
        <v>376</v>
      </c>
      <c r="I913">
        <v>10.438000000000001</v>
      </c>
      <c r="J913">
        <v>349.37200000000001</v>
      </c>
      <c r="K913">
        <v>0</v>
      </c>
    </row>
    <row r="914" spans="1:11">
      <c r="A914">
        <v>14022</v>
      </c>
      <c r="B914" t="s">
        <v>1132</v>
      </c>
      <c r="C914" t="s">
        <v>971</v>
      </c>
      <c r="D914" t="s">
        <v>107</v>
      </c>
      <c r="E914" t="s">
        <v>1203</v>
      </c>
      <c r="F914">
        <v>55</v>
      </c>
      <c r="G914">
        <v>1985</v>
      </c>
      <c r="H914">
        <v>912</v>
      </c>
      <c r="I914">
        <v>0</v>
      </c>
      <c r="J914">
        <v>0</v>
      </c>
      <c r="K914">
        <v>0</v>
      </c>
    </row>
    <row r="915" spans="1:11">
      <c r="A915">
        <v>28009</v>
      </c>
      <c r="B915" t="s">
        <v>1132</v>
      </c>
      <c r="C915" t="s">
        <v>1133</v>
      </c>
      <c r="D915" t="s">
        <v>107</v>
      </c>
      <c r="E915" t="s">
        <v>501</v>
      </c>
      <c r="F915">
        <v>1</v>
      </c>
      <c r="G915">
        <v>1955</v>
      </c>
      <c r="H915">
        <v>477</v>
      </c>
      <c r="I915">
        <v>6.375</v>
      </c>
      <c r="J915">
        <v>185.24299999999999</v>
      </c>
      <c r="K915">
        <v>0</v>
      </c>
    </row>
    <row r="916" spans="1:11">
      <c r="A916">
        <v>16066</v>
      </c>
      <c r="B916" t="s">
        <v>1724</v>
      </c>
      <c r="C916" t="s">
        <v>1725</v>
      </c>
      <c r="D916" t="s">
        <v>107</v>
      </c>
      <c r="E916" t="s">
        <v>1200</v>
      </c>
      <c r="F916">
        <v>70</v>
      </c>
      <c r="G916">
        <v>1945</v>
      </c>
      <c r="H916">
        <v>643</v>
      </c>
      <c r="I916">
        <v>0.875</v>
      </c>
      <c r="J916">
        <v>38.237000000000002</v>
      </c>
      <c r="K91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43"/>
  <sheetViews>
    <sheetView topLeftCell="A298" workbookViewId="0">
      <selection activeCell="A323" sqref="A323:XFD332"/>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17074</v>
      </c>
      <c r="F1" s="504"/>
      <c r="G1" s="394" t="s">
        <v>459</v>
      </c>
      <c r="H1" s="14"/>
    </row>
    <row r="2" spans="1:8" ht="13.15" customHeight="1">
      <c r="A2" s="504"/>
      <c r="B2" s="504" t="s">
        <v>1726</v>
      </c>
      <c r="C2" s="504"/>
      <c r="D2" s="504"/>
      <c r="E2" s="504"/>
      <c r="F2" s="504"/>
      <c r="H2" s="14"/>
    </row>
    <row r="3" spans="1:8" ht="13.15" customHeight="1">
      <c r="A3" s="504" t="s">
        <v>1727</v>
      </c>
      <c r="B3" s="504" t="s">
        <v>1274</v>
      </c>
      <c r="C3" s="506" t="s">
        <v>1728</v>
      </c>
      <c r="D3" s="504"/>
      <c r="E3" s="507">
        <v>42840</v>
      </c>
      <c r="F3" s="504" t="s">
        <v>1729</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1730</v>
      </c>
      <c r="B8" s="506" t="s">
        <v>1731</v>
      </c>
      <c r="C8" s="504" t="s">
        <v>60</v>
      </c>
      <c r="D8" s="504">
        <v>1</v>
      </c>
      <c r="E8" s="504" t="s">
        <v>61</v>
      </c>
      <c r="F8" s="504" t="s">
        <v>1732</v>
      </c>
      <c r="G8" s="392"/>
      <c r="H8" s="14"/>
    </row>
    <row r="9" spans="1:8" ht="14.25">
      <c r="A9" s="505">
        <v>29062</v>
      </c>
      <c r="B9" s="504" t="s">
        <v>1733</v>
      </c>
      <c r="C9" s="504" t="s">
        <v>202</v>
      </c>
      <c r="D9" s="504"/>
      <c r="E9" s="505">
        <v>5</v>
      </c>
      <c r="F9" s="505" t="s">
        <v>1734</v>
      </c>
      <c r="G9" s="392" t="s">
        <v>455</v>
      </c>
      <c r="H9" s="14"/>
    </row>
    <row r="10" spans="1:8" ht="14.25">
      <c r="A10" s="505">
        <v>12086</v>
      </c>
      <c r="B10" s="504" t="s">
        <v>1735</v>
      </c>
      <c r="C10" s="504" t="s">
        <v>495</v>
      </c>
      <c r="D10" s="504"/>
      <c r="E10" s="505">
        <v>51</v>
      </c>
      <c r="F10" s="505" t="s">
        <v>1736</v>
      </c>
      <c r="G10" s="392" t="s">
        <v>452</v>
      </c>
      <c r="H10" s="14"/>
    </row>
    <row r="11" spans="1:8">
      <c r="A11" s="504"/>
      <c r="B11" s="504"/>
      <c r="C11" s="504"/>
      <c r="D11" s="504"/>
      <c r="E11" s="504"/>
      <c r="F11" s="504"/>
      <c r="H11" s="14"/>
    </row>
    <row r="12" spans="1:8" ht="14.25">
      <c r="A12" s="504"/>
      <c r="B12" s="504"/>
      <c r="C12" s="504"/>
      <c r="D12" s="504"/>
      <c r="E12" s="504"/>
      <c r="F12" s="504"/>
      <c r="G12" s="392"/>
      <c r="H12" s="14"/>
    </row>
    <row r="13" spans="1:8" ht="14.25">
      <c r="A13" s="504" t="s">
        <v>1730</v>
      </c>
      <c r="B13" s="506" t="s">
        <v>1731</v>
      </c>
      <c r="C13" s="504" t="s">
        <v>60</v>
      </c>
      <c r="D13" s="504">
        <v>2</v>
      </c>
      <c r="E13" s="504" t="s">
        <v>61</v>
      </c>
      <c r="F13" s="504" t="s">
        <v>1737</v>
      </c>
      <c r="G13" s="392"/>
      <c r="H13" s="14"/>
    </row>
    <row r="14" spans="1:8" ht="14.25">
      <c r="A14" s="505">
        <v>99510</v>
      </c>
      <c r="B14" s="504" t="s">
        <v>1738</v>
      </c>
      <c r="C14" s="504" t="s">
        <v>472</v>
      </c>
      <c r="D14" s="504"/>
      <c r="E14" s="505">
        <v>63</v>
      </c>
      <c r="F14" s="505" t="s">
        <v>1739</v>
      </c>
      <c r="G14" s="392"/>
      <c r="H14" s="14"/>
    </row>
    <row r="15" spans="1:8" ht="14.25">
      <c r="A15" s="505">
        <v>99574</v>
      </c>
      <c r="B15" s="504" t="s">
        <v>1740</v>
      </c>
      <c r="C15" s="504" t="s">
        <v>472</v>
      </c>
      <c r="D15" s="504"/>
      <c r="E15" s="505">
        <v>38</v>
      </c>
      <c r="F15" s="505" t="s">
        <v>1741</v>
      </c>
      <c r="G15" s="392"/>
      <c r="H15" s="14"/>
    </row>
    <row r="16" spans="1:8" ht="14.25">
      <c r="A16" s="504"/>
      <c r="B16" s="504"/>
      <c r="C16" s="504"/>
      <c r="D16" s="504"/>
      <c r="E16" s="504"/>
      <c r="F16" s="504"/>
      <c r="G16" s="392"/>
      <c r="H16" s="14"/>
    </row>
    <row r="17" spans="1:8" ht="14.25">
      <c r="A17" s="504"/>
      <c r="B17" s="504"/>
      <c r="C17" s="504"/>
      <c r="D17" s="504"/>
      <c r="E17" s="504"/>
      <c r="F17" s="504"/>
      <c r="G17" s="392"/>
      <c r="H17" s="14"/>
    </row>
    <row r="18" spans="1:8" ht="26.25">
      <c r="A18" s="504" t="s">
        <v>1730</v>
      </c>
      <c r="B18" s="506" t="s">
        <v>1731</v>
      </c>
      <c r="C18" s="504" t="s">
        <v>60</v>
      </c>
      <c r="D18" s="504">
        <v>3</v>
      </c>
      <c r="E18" s="504" t="s">
        <v>61</v>
      </c>
      <c r="F18" s="504" t="s">
        <v>1742</v>
      </c>
      <c r="G18" s="392"/>
      <c r="H18" s="14"/>
    </row>
    <row r="19" spans="1:8" ht="14.25">
      <c r="A19" s="505">
        <v>12020</v>
      </c>
      <c r="B19" s="504" t="s">
        <v>1743</v>
      </c>
      <c r="C19" s="504" t="s">
        <v>202</v>
      </c>
      <c r="D19" s="504"/>
      <c r="E19" s="505">
        <v>36</v>
      </c>
      <c r="F19" s="505" t="s">
        <v>1744</v>
      </c>
      <c r="G19" s="392"/>
      <c r="H19" s="14"/>
    </row>
    <row r="20" spans="1:8">
      <c r="A20" s="505">
        <v>13044</v>
      </c>
      <c r="B20" s="504" t="s">
        <v>1745</v>
      </c>
      <c r="C20" s="504" t="s">
        <v>202</v>
      </c>
      <c r="D20" s="504"/>
      <c r="E20" s="505">
        <v>65</v>
      </c>
      <c r="F20" s="505" t="s">
        <v>1746</v>
      </c>
      <c r="G20" s="14"/>
      <c r="H20" s="14"/>
    </row>
    <row r="21" spans="1:8">
      <c r="A21" s="504"/>
      <c r="B21" s="504"/>
      <c r="C21" s="504"/>
      <c r="D21" s="504"/>
      <c r="E21" s="504"/>
      <c r="F21" s="504"/>
      <c r="G21" s="14"/>
      <c r="H21" s="14"/>
    </row>
    <row r="22" spans="1:8">
      <c r="A22" s="504"/>
      <c r="B22" s="504"/>
      <c r="C22" s="504"/>
      <c r="D22" s="504"/>
      <c r="E22" s="504"/>
      <c r="F22" s="504"/>
      <c r="G22" s="14"/>
      <c r="H22" s="14"/>
    </row>
    <row r="23" spans="1:8" ht="25.5">
      <c r="A23" s="504" t="s">
        <v>1730</v>
      </c>
      <c r="B23" s="506" t="s">
        <v>1731</v>
      </c>
      <c r="C23" s="504" t="s">
        <v>60</v>
      </c>
      <c r="D23" s="504">
        <v>4</v>
      </c>
      <c r="E23" s="504" t="s">
        <v>61</v>
      </c>
      <c r="F23" s="504" t="s">
        <v>1747</v>
      </c>
      <c r="G23" s="14"/>
      <c r="H23" s="14"/>
    </row>
    <row r="24" spans="1:8">
      <c r="A24" s="505">
        <v>27039</v>
      </c>
      <c r="B24" s="504" t="s">
        <v>1748</v>
      </c>
      <c r="C24" s="504" t="s">
        <v>200</v>
      </c>
      <c r="D24" s="504"/>
      <c r="E24" s="505">
        <v>9</v>
      </c>
      <c r="F24" s="505" t="s">
        <v>1749</v>
      </c>
      <c r="G24" s="14"/>
      <c r="H24" s="14"/>
    </row>
    <row r="25" spans="1:8">
      <c r="A25" s="505">
        <v>21754</v>
      </c>
      <c r="B25" s="504" t="s">
        <v>1750</v>
      </c>
      <c r="C25" s="504" t="s">
        <v>331</v>
      </c>
      <c r="D25" s="504"/>
      <c r="E25" s="505">
        <v>78</v>
      </c>
      <c r="F25" s="505" t="s">
        <v>1751</v>
      </c>
      <c r="G25" s="14"/>
      <c r="H25" s="14"/>
    </row>
    <row r="26" spans="1:8">
      <c r="A26" s="504"/>
      <c r="B26" s="504"/>
      <c r="C26" s="504"/>
      <c r="D26" s="504"/>
      <c r="E26" s="504"/>
      <c r="F26" s="504"/>
      <c r="G26" s="14"/>
      <c r="H26" s="14"/>
    </row>
    <row r="27" spans="1:8">
      <c r="A27" s="504"/>
      <c r="B27" s="504"/>
      <c r="C27" s="504"/>
      <c r="D27" s="504"/>
      <c r="E27" s="504"/>
      <c r="F27" s="504"/>
      <c r="G27" s="14"/>
      <c r="H27" s="14"/>
    </row>
    <row r="28" spans="1:8">
      <c r="A28" s="504" t="s">
        <v>1730</v>
      </c>
      <c r="B28" s="506" t="s">
        <v>1731</v>
      </c>
      <c r="C28" s="504" t="s">
        <v>60</v>
      </c>
      <c r="D28" s="504">
        <v>5</v>
      </c>
      <c r="E28" s="504" t="s">
        <v>61</v>
      </c>
      <c r="F28" s="504" t="s">
        <v>1752</v>
      </c>
      <c r="G28" s="14"/>
      <c r="H28" s="14"/>
    </row>
    <row r="29" spans="1:8">
      <c r="A29" s="505">
        <v>29049</v>
      </c>
      <c r="B29" s="504" t="s">
        <v>1753</v>
      </c>
      <c r="C29" s="504" t="s">
        <v>495</v>
      </c>
      <c r="D29" s="504"/>
      <c r="E29" s="505">
        <v>52</v>
      </c>
      <c r="F29" s="505" t="s">
        <v>1754</v>
      </c>
      <c r="G29" s="14"/>
      <c r="H29" s="14"/>
    </row>
    <row r="30" spans="1:8">
      <c r="A30" s="505">
        <v>14075</v>
      </c>
      <c r="B30" s="504" t="s">
        <v>1755</v>
      </c>
      <c r="C30" s="504" t="s">
        <v>202</v>
      </c>
      <c r="D30" s="504"/>
      <c r="E30" s="505">
        <v>21</v>
      </c>
      <c r="F30" s="505" t="s">
        <v>1756</v>
      </c>
      <c r="G30" s="14"/>
      <c r="H30" s="14"/>
    </row>
    <row r="31" spans="1:8">
      <c r="A31" s="504"/>
      <c r="B31" s="504"/>
      <c r="C31" s="504"/>
      <c r="D31" s="504"/>
      <c r="E31" s="504"/>
      <c r="F31" s="504"/>
      <c r="G31" s="14"/>
      <c r="H31" s="14"/>
    </row>
    <row r="32" spans="1:8">
      <c r="A32" s="504"/>
      <c r="B32" s="504"/>
      <c r="C32" s="504"/>
      <c r="D32" s="504"/>
      <c r="E32" s="504"/>
      <c r="F32" s="504"/>
      <c r="G32" s="14"/>
      <c r="H32" s="14"/>
    </row>
    <row r="33" spans="1:8" ht="25.5">
      <c r="A33" s="504" t="s">
        <v>1730</v>
      </c>
      <c r="B33" s="506" t="s">
        <v>1731</v>
      </c>
      <c r="C33" s="504" t="s">
        <v>60</v>
      </c>
      <c r="D33" s="504">
        <v>6</v>
      </c>
      <c r="E33" s="504" t="s">
        <v>61</v>
      </c>
      <c r="F33" s="504" t="s">
        <v>1757</v>
      </c>
      <c r="G33" s="14"/>
      <c r="H33" s="14"/>
    </row>
    <row r="34" spans="1:8">
      <c r="A34" s="505">
        <v>14074</v>
      </c>
      <c r="B34" s="504" t="s">
        <v>1758</v>
      </c>
      <c r="C34" s="504" t="s">
        <v>202</v>
      </c>
      <c r="D34" s="504"/>
      <c r="E34" s="505">
        <v>126</v>
      </c>
      <c r="F34" s="505" t="s">
        <v>1759</v>
      </c>
      <c r="G34" s="14"/>
      <c r="H34" s="14"/>
    </row>
    <row r="35" spans="1:8">
      <c r="A35" s="505">
        <v>98446</v>
      </c>
      <c r="B35" s="504" t="s">
        <v>1760</v>
      </c>
      <c r="C35" s="504" t="s">
        <v>202</v>
      </c>
      <c r="D35" s="504"/>
      <c r="E35" s="505">
        <v>15</v>
      </c>
      <c r="F35" s="505" t="s">
        <v>1761</v>
      </c>
      <c r="G35" s="14"/>
      <c r="H35" s="14"/>
    </row>
    <row r="36" spans="1:8">
      <c r="A36" s="504"/>
      <c r="B36" s="504"/>
      <c r="C36" s="504"/>
      <c r="D36" s="504"/>
      <c r="E36" s="504"/>
      <c r="F36" s="504"/>
      <c r="G36" s="14"/>
      <c r="H36" s="14"/>
    </row>
    <row r="37" spans="1:8">
      <c r="A37" s="504"/>
      <c r="B37" s="504"/>
      <c r="C37" s="504"/>
      <c r="D37" s="504"/>
      <c r="E37" s="504"/>
      <c r="F37" s="504"/>
      <c r="G37" s="14"/>
      <c r="H37" s="14"/>
    </row>
    <row r="38" spans="1:8" ht="25.5">
      <c r="A38" s="504" t="s">
        <v>1730</v>
      </c>
      <c r="B38" s="506" t="s">
        <v>1731</v>
      </c>
      <c r="C38" s="504" t="s">
        <v>60</v>
      </c>
      <c r="D38" s="504">
        <v>7</v>
      </c>
      <c r="E38" s="504" t="s">
        <v>61</v>
      </c>
      <c r="F38" s="504" t="s">
        <v>1762</v>
      </c>
      <c r="G38" s="14"/>
      <c r="H38" s="14"/>
    </row>
    <row r="39" spans="1:8">
      <c r="A39" s="505">
        <v>12070</v>
      </c>
      <c r="B39" s="504" t="s">
        <v>1763</v>
      </c>
      <c r="C39" s="504" t="s">
        <v>495</v>
      </c>
      <c r="D39" s="504"/>
      <c r="E39" s="505">
        <v>69</v>
      </c>
      <c r="F39" s="505" t="s">
        <v>1764</v>
      </c>
      <c r="G39" s="14"/>
      <c r="H39" s="14"/>
    </row>
    <row r="40" spans="1:8">
      <c r="A40" s="505">
        <v>28050</v>
      </c>
      <c r="B40" s="504" t="s">
        <v>1765</v>
      </c>
      <c r="C40" s="504" t="s">
        <v>200</v>
      </c>
      <c r="D40" s="504"/>
      <c r="E40" s="505">
        <v>56</v>
      </c>
      <c r="F40" s="505" t="s">
        <v>1766</v>
      </c>
      <c r="G40" s="14"/>
      <c r="H40" s="14"/>
    </row>
    <row r="41" spans="1:8">
      <c r="A41" s="504"/>
      <c r="B41" s="504"/>
      <c r="C41" s="504"/>
      <c r="D41" s="504"/>
      <c r="E41" s="504"/>
      <c r="F41" s="504"/>
      <c r="G41" s="14"/>
      <c r="H41" s="14"/>
    </row>
    <row r="42" spans="1:8">
      <c r="A42" s="504"/>
      <c r="B42" s="504"/>
      <c r="C42" s="504"/>
      <c r="D42" s="504"/>
      <c r="E42" s="504"/>
      <c r="F42" s="504"/>
      <c r="G42" s="14"/>
      <c r="H42" s="14"/>
    </row>
    <row r="43" spans="1:8" ht="25.5">
      <c r="A43" s="504" t="s">
        <v>1730</v>
      </c>
      <c r="B43" s="506" t="s">
        <v>1731</v>
      </c>
      <c r="C43" s="504" t="s">
        <v>60</v>
      </c>
      <c r="D43" s="504">
        <v>8</v>
      </c>
      <c r="E43" s="504" t="s">
        <v>61</v>
      </c>
      <c r="F43" s="504" t="s">
        <v>1767</v>
      </c>
      <c r="G43" s="14"/>
      <c r="H43" s="14"/>
    </row>
    <row r="44" spans="1:8">
      <c r="A44" s="505">
        <v>11039</v>
      </c>
      <c r="B44" s="504" t="s">
        <v>1768</v>
      </c>
      <c r="C44" s="504" t="s">
        <v>1559</v>
      </c>
      <c r="D44" s="504"/>
      <c r="E44" s="505">
        <v>27</v>
      </c>
      <c r="F44" s="505" t="s">
        <v>1769</v>
      </c>
      <c r="G44" s="14"/>
      <c r="H44" s="14"/>
    </row>
    <row r="45" spans="1:8">
      <c r="A45" s="505">
        <v>14024</v>
      </c>
      <c r="B45" s="504" t="s">
        <v>1770</v>
      </c>
      <c r="C45" s="504" t="s">
        <v>1559</v>
      </c>
      <c r="D45" s="504"/>
      <c r="E45" s="505">
        <v>35</v>
      </c>
      <c r="F45" s="505" t="s">
        <v>1771</v>
      </c>
      <c r="G45" s="14"/>
      <c r="H45" s="14"/>
    </row>
    <row r="46" spans="1:8">
      <c r="A46" s="504"/>
      <c r="B46" s="504"/>
      <c r="C46" s="504"/>
      <c r="D46" s="504"/>
      <c r="E46" s="504"/>
      <c r="F46" s="504"/>
      <c r="G46" s="14"/>
      <c r="H46" s="14"/>
    </row>
    <row r="47" spans="1:8">
      <c r="A47" s="504"/>
      <c r="B47" s="504"/>
      <c r="C47" s="504"/>
      <c r="D47" s="504"/>
      <c r="E47" s="504"/>
      <c r="F47" s="504"/>
      <c r="G47" s="14"/>
      <c r="H47" s="14"/>
    </row>
    <row r="48" spans="1:8" ht="25.5">
      <c r="A48" s="504" t="s">
        <v>1730</v>
      </c>
      <c r="B48" s="506" t="s">
        <v>1731</v>
      </c>
      <c r="C48" s="504" t="s">
        <v>60</v>
      </c>
      <c r="D48" s="504">
        <v>9</v>
      </c>
      <c r="E48" s="504" t="s">
        <v>61</v>
      </c>
      <c r="F48" s="504" t="s">
        <v>1772</v>
      </c>
      <c r="G48" s="14"/>
      <c r="H48" s="14"/>
    </row>
    <row r="49" spans="1:8">
      <c r="A49" s="505">
        <v>15047</v>
      </c>
      <c r="B49" s="504" t="s">
        <v>1773</v>
      </c>
      <c r="C49" s="504" t="s">
        <v>472</v>
      </c>
      <c r="D49" s="504"/>
      <c r="E49" s="505">
        <v>81</v>
      </c>
      <c r="F49" s="505" t="s">
        <v>1774</v>
      </c>
      <c r="G49" s="14"/>
      <c r="H49" s="14"/>
    </row>
    <row r="50" spans="1:8">
      <c r="A50" s="505">
        <v>15023</v>
      </c>
      <c r="B50" s="504" t="s">
        <v>1775</v>
      </c>
      <c r="C50" s="504" t="s">
        <v>472</v>
      </c>
      <c r="D50" s="504"/>
      <c r="E50" s="505">
        <v>68</v>
      </c>
      <c r="F50" s="505" t="s">
        <v>1776</v>
      </c>
      <c r="G50" s="14"/>
      <c r="H50" s="14"/>
    </row>
    <row r="51" spans="1:8">
      <c r="A51" s="504"/>
      <c r="B51" s="504"/>
      <c r="C51" s="504"/>
      <c r="D51" s="504"/>
      <c r="E51" s="504"/>
      <c r="F51" s="504"/>
      <c r="G51" s="14"/>
      <c r="H51" s="14"/>
    </row>
    <row r="52" spans="1:8">
      <c r="A52" s="504"/>
      <c r="B52" s="504"/>
      <c r="C52" s="504"/>
      <c r="D52" s="504"/>
      <c r="E52" s="504"/>
      <c r="F52" s="504"/>
      <c r="G52" s="14"/>
      <c r="H52" s="14"/>
    </row>
    <row r="53" spans="1:8" ht="25.5">
      <c r="A53" s="504" t="s">
        <v>1730</v>
      </c>
      <c r="B53" s="506" t="s">
        <v>1731</v>
      </c>
      <c r="C53" s="504" t="s">
        <v>60</v>
      </c>
      <c r="D53" s="504">
        <v>10</v>
      </c>
      <c r="E53" s="504" t="s">
        <v>61</v>
      </c>
      <c r="F53" s="504" t="s">
        <v>1777</v>
      </c>
      <c r="G53" s="14"/>
      <c r="H53" s="14"/>
    </row>
    <row r="54" spans="1:8">
      <c r="A54" s="505">
        <v>12038</v>
      </c>
      <c r="B54" s="504" t="s">
        <v>1778</v>
      </c>
      <c r="C54" s="504" t="s">
        <v>576</v>
      </c>
      <c r="D54" s="504"/>
      <c r="E54" s="505">
        <v>41</v>
      </c>
      <c r="F54" s="505" t="s">
        <v>1779</v>
      </c>
      <c r="G54" s="14"/>
      <c r="H54" s="14"/>
    </row>
    <row r="55" spans="1:8">
      <c r="A55" s="505">
        <v>12037</v>
      </c>
      <c r="B55" s="504" t="s">
        <v>1780</v>
      </c>
      <c r="C55" s="504" t="s">
        <v>576</v>
      </c>
      <c r="D55" s="504"/>
      <c r="E55" s="505">
        <v>39</v>
      </c>
      <c r="F55" s="505" t="s">
        <v>1779</v>
      </c>
      <c r="G55" s="14"/>
      <c r="H55" s="14"/>
    </row>
    <row r="56" spans="1:8">
      <c r="A56" s="504"/>
      <c r="B56" s="504"/>
      <c r="C56" s="504"/>
      <c r="D56" s="504"/>
      <c r="E56" s="504"/>
      <c r="F56" s="504"/>
      <c r="G56" s="14"/>
      <c r="H56" s="14"/>
    </row>
    <row r="57" spans="1:8">
      <c r="A57" s="504"/>
      <c r="B57" s="504"/>
      <c r="C57" s="504"/>
      <c r="D57" s="504"/>
      <c r="E57" s="504"/>
      <c r="F57" s="504"/>
      <c r="G57" s="14"/>
      <c r="H57" s="14"/>
    </row>
    <row r="58" spans="1:8" ht="25.5">
      <c r="A58" s="504" t="s">
        <v>1730</v>
      </c>
      <c r="B58" s="506" t="s">
        <v>1731</v>
      </c>
      <c r="C58" s="504" t="s">
        <v>60</v>
      </c>
      <c r="D58" s="504">
        <v>11</v>
      </c>
      <c r="E58" s="504" t="s">
        <v>61</v>
      </c>
      <c r="F58" s="504" t="s">
        <v>1781</v>
      </c>
      <c r="G58" s="14"/>
      <c r="H58" s="14"/>
    </row>
    <row r="59" spans="1:8">
      <c r="A59" s="505">
        <v>14052</v>
      </c>
      <c r="B59" s="504" t="s">
        <v>1782</v>
      </c>
      <c r="C59" s="504" t="s">
        <v>1466</v>
      </c>
      <c r="D59" s="504"/>
      <c r="E59" s="505">
        <v>90</v>
      </c>
      <c r="F59" s="505" t="s">
        <v>1783</v>
      </c>
      <c r="G59" s="14"/>
      <c r="H59" s="14"/>
    </row>
    <row r="60" spans="1:8">
      <c r="A60" s="505">
        <v>27080</v>
      </c>
      <c r="B60" s="504" t="s">
        <v>1784</v>
      </c>
      <c r="C60" s="504" t="s">
        <v>168</v>
      </c>
      <c r="D60" s="504"/>
      <c r="E60" s="505">
        <v>80</v>
      </c>
      <c r="F60" s="505" t="s">
        <v>1785</v>
      </c>
      <c r="G60" s="14"/>
      <c r="H60" s="14"/>
    </row>
    <row r="61" spans="1:8">
      <c r="A61" s="504"/>
      <c r="B61" s="504"/>
      <c r="C61" s="504"/>
      <c r="D61" s="504"/>
      <c r="E61" s="504"/>
      <c r="F61" s="504"/>
      <c r="G61" s="14"/>
      <c r="H61" s="14"/>
    </row>
    <row r="62" spans="1:8">
      <c r="A62" s="504"/>
      <c r="B62" s="504"/>
      <c r="C62" s="504"/>
      <c r="D62" s="504"/>
      <c r="E62" s="504"/>
      <c r="F62" s="504"/>
      <c r="G62" s="14"/>
      <c r="H62" s="14"/>
    </row>
    <row r="63" spans="1:8" ht="25.5">
      <c r="A63" s="504" t="s">
        <v>1730</v>
      </c>
      <c r="B63" s="506" t="s">
        <v>1731</v>
      </c>
      <c r="C63" s="504" t="s">
        <v>60</v>
      </c>
      <c r="D63" s="504">
        <v>12</v>
      </c>
      <c r="E63" s="504" t="s">
        <v>61</v>
      </c>
      <c r="F63" s="504" t="s">
        <v>1786</v>
      </c>
      <c r="G63" s="14"/>
      <c r="H63" s="14"/>
    </row>
    <row r="64" spans="1:8">
      <c r="A64" s="505">
        <v>15011</v>
      </c>
      <c r="B64" s="504" t="s">
        <v>1787</v>
      </c>
      <c r="C64" s="504" t="s">
        <v>576</v>
      </c>
      <c r="D64" s="504"/>
      <c r="E64" s="505">
        <v>85</v>
      </c>
      <c r="F64" s="505" t="s">
        <v>1788</v>
      </c>
      <c r="G64" s="14"/>
      <c r="H64" s="14"/>
    </row>
    <row r="65" spans="1:8">
      <c r="A65" s="505">
        <v>15010</v>
      </c>
      <c r="B65" s="504" t="s">
        <v>1789</v>
      </c>
      <c r="C65" s="504" t="s">
        <v>576</v>
      </c>
      <c r="D65" s="504"/>
      <c r="E65" s="505">
        <v>129</v>
      </c>
      <c r="F65" s="505" t="s">
        <v>1790</v>
      </c>
      <c r="G65" s="14"/>
      <c r="H65" s="14"/>
    </row>
    <row r="66" spans="1:8">
      <c r="A66" s="504"/>
      <c r="B66" s="504"/>
      <c r="C66" s="504"/>
      <c r="D66" s="504"/>
      <c r="E66" s="504"/>
      <c r="F66" s="504"/>
      <c r="G66" s="14"/>
      <c r="H66" s="14"/>
    </row>
    <row r="67" spans="1:8">
      <c r="A67" s="504"/>
      <c r="B67" s="504"/>
      <c r="C67" s="504"/>
      <c r="D67" s="504"/>
      <c r="E67" s="504"/>
      <c r="F67" s="504"/>
      <c r="G67" s="14"/>
      <c r="H67" s="14"/>
    </row>
    <row r="68" spans="1:8" ht="25.5">
      <c r="A68" s="504" t="s">
        <v>1730</v>
      </c>
      <c r="B68" s="506" t="s">
        <v>1731</v>
      </c>
      <c r="C68" s="504" t="s">
        <v>60</v>
      </c>
      <c r="D68" s="504">
        <v>13</v>
      </c>
      <c r="E68" s="504" t="s">
        <v>61</v>
      </c>
      <c r="F68" s="504" t="s">
        <v>1791</v>
      </c>
      <c r="G68" s="14"/>
      <c r="H68" s="14"/>
    </row>
    <row r="69" spans="1:8">
      <c r="A69" s="505">
        <v>21768</v>
      </c>
      <c r="B69" s="504" t="s">
        <v>1792</v>
      </c>
      <c r="C69" s="504" t="s">
        <v>200</v>
      </c>
      <c r="D69" s="504"/>
      <c r="E69" s="505">
        <v>111</v>
      </c>
      <c r="F69" s="505" t="s">
        <v>1793</v>
      </c>
      <c r="G69" s="14"/>
      <c r="H69" s="14"/>
    </row>
    <row r="70" spans="1:8">
      <c r="A70" s="505">
        <v>99590</v>
      </c>
      <c r="B70" s="504" t="s">
        <v>1794</v>
      </c>
      <c r="C70" s="504" t="s">
        <v>200</v>
      </c>
      <c r="D70" s="504"/>
      <c r="E70" s="505">
        <v>71</v>
      </c>
      <c r="F70" s="505" t="s">
        <v>1795</v>
      </c>
      <c r="G70" s="14"/>
      <c r="H70" s="14"/>
    </row>
    <row r="71" spans="1:8">
      <c r="A71" s="504"/>
      <c r="B71" s="504"/>
      <c r="C71" s="504"/>
      <c r="D71" s="504"/>
      <c r="E71" s="504"/>
      <c r="F71" s="504"/>
      <c r="G71" s="14"/>
      <c r="H71" s="14"/>
    </row>
    <row r="72" spans="1:8">
      <c r="A72" s="504"/>
      <c r="B72" s="504"/>
      <c r="C72" s="504"/>
      <c r="D72" s="504"/>
      <c r="E72" s="504"/>
      <c r="F72" s="504"/>
      <c r="G72" s="14"/>
      <c r="H72" s="14"/>
    </row>
    <row r="73" spans="1:8" ht="25.5">
      <c r="A73" s="504" t="s">
        <v>1730</v>
      </c>
      <c r="B73" s="506" t="s">
        <v>1731</v>
      </c>
      <c r="C73" s="504" t="s">
        <v>60</v>
      </c>
      <c r="D73" s="504">
        <v>14</v>
      </c>
      <c r="E73" s="504" t="s">
        <v>61</v>
      </c>
      <c r="F73" s="504" t="s">
        <v>1796</v>
      </c>
      <c r="G73" s="14"/>
      <c r="H73" s="14"/>
    </row>
    <row r="74" spans="1:8">
      <c r="A74" s="505">
        <v>14079</v>
      </c>
      <c r="B74" s="504" t="s">
        <v>1797</v>
      </c>
      <c r="C74" s="504" t="s">
        <v>1343</v>
      </c>
      <c r="D74" s="504"/>
      <c r="E74" s="505">
        <v>83</v>
      </c>
      <c r="F74" s="505" t="s">
        <v>1798</v>
      </c>
      <c r="G74" s="14"/>
      <c r="H74" s="14"/>
    </row>
    <row r="75" spans="1:8">
      <c r="A75" s="505">
        <v>14081</v>
      </c>
      <c r="B75" s="504" t="s">
        <v>1799</v>
      </c>
      <c r="C75" s="504" t="s">
        <v>1343</v>
      </c>
      <c r="D75" s="504"/>
      <c r="E75" s="505">
        <v>131</v>
      </c>
      <c r="F75" s="505" t="s">
        <v>1800</v>
      </c>
      <c r="G75" s="14"/>
      <c r="H75" s="14"/>
    </row>
    <row r="76" spans="1:8">
      <c r="A76" s="504"/>
      <c r="B76" s="504"/>
      <c r="C76" s="504"/>
      <c r="D76" s="504"/>
      <c r="E76" s="504"/>
      <c r="F76" s="504"/>
      <c r="G76" s="14"/>
      <c r="H76" s="14"/>
    </row>
    <row r="77" spans="1:8">
      <c r="A77" s="504"/>
      <c r="B77" s="504"/>
      <c r="C77" s="504"/>
      <c r="D77" s="504"/>
      <c r="E77" s="504"/>
      <c r="F77" s="504"/>
      <c r="G77" s="14"/>
      <c r="H77" s="14"/>
    </row>
    <row r="78" spans="1:8" ht="25.5">
      <c r="A78" s="504" t="s">
        <v>1730</v>
      </c>
      <c r="B78" s="506" t="s">
        <v>1731</v>
      </c>
      <c r="C78" s="504" t="s">
        <v>60</v>
      </c>
      <c r="D78" s="504">
        <v>15</v>
      </c>
      <c r="E78" s="504" t="s">
        <v>61</v>
      </c>
      <c r="F78" s="504" t="s">
        <v>1801</v>
      </c>
      <c r="G78" s="14"/>
      <c r="H78" s="14"/>
    </row>
    <row r="79" spans="1:8">
      <c r="A79" s="505">
        <v>15067</v>
      </c>
      <c r="B79" s="504" t="s">
        <v>1802</v>
      </c>
      <c r="C79" s="504" t="s">
        <v>1466</v>
      </c>
      <c r="D79" s="504"/>
      <c r="E79" s="505">
        <v>62</v>
      </c>
      <c r="F79" s="505" t="s">
        <v>1803</v>
      </c>
      <c r="G79" s="14"/>
      <c r="H79" s="14"/>
    </row>
    <row r="80" spans="1:8">
      <c r="A80" s="505">
        <v>16010</v>
      </c>
      <c r="B80" s="504" t="s">
        <v>1804</v>
      </c>
      <c r="C80" s="504" t="s">
        <v>1466</v>
      </c>
      <c r="D80" s="504"/>
      <c r="E80" s="505">
        <v>140</v>
      </c>
      <c r="F80" s="505" t="s">
        <v>1805</v>
      </c>
      <c r="G80" s="14"/>
      <c r="H80" s="14"/>
    </row>
    <row r="81" spans="1:8">
      <c r="A81" s="504"/>
      <c r="B81" s="504"/>
      <c r="C81" s="504"/>
      <c r="D81" s="504"/>
      <c r="E81" s="504"/>
      <c r="F81" s="504"/>
      <c r="G81" s="14"/>
      <c r="H81" s="14"/>
    </row>
    <row r="82" spans="1:8">
      <c r="A82" s="504"/>
      <c r="B82" s="504"/>
      <c r="C82" s="504"/>
      <c r="D82" s="504"/>
      <c r="E82" s="504"/>
      <c r="F82" s="504"/>
      <c r="G82" s="14"/>
      <c r="H82" s="14"/>
    </row>
    <row r="83" spans="1:8" ht="25.5">
      <c r="A83" s="504" t="s">
        <v>1730</v>
      </c>
      <c r="B83" s="506" t="s">
        <v>1731</v>
      </c>
      <c r="C83" s="504" t="s">
        <v>60</v>
      </c>
      <c r="D83" s="504">
        <v>16</v>
      </c>
      <c r="E83" s="504" t="s">
        <v>61</v>
      </c>
      <c r="F83" s="504" t="s">
        <v>1806</v>
      </c>
      <c r="G83" s="14"/>
      <c r="H83" s="14"/>
    </row>
    <row r="84" spans="1:8">
      <c r="A84" s="505">
        <v>23054</v>
      </c>
      <c r="B84" s="504" t="s">
        <v>1807</v>
      </c>
      <c r="C84" s="504" t="s">
        <v>153</v>
      </c>
      <c r="D84" s="504"/>
      <c r="E84" s="505">
        <v>26</v>
      </c>
      <c r="F84" s="505" t="s">
        <v>1808</v>
      </c>
      <c r="G84" s="14"/>
      <c r="H84" s="14"/>
    </row>
    <row r="85" spans="1:8">
      <c r="A85" s="505">
        <v>26010</v>
      </c>
      <c r="B85" s="504" t="s">
        <v>1809</v>
      </c>
      <c r="C85" s="504" t="s">
        <v>153</v>
      </c>
      <c r="D85" s="504"/>
      <c r="E85" s="505">
        <v>376</v>
      </c>
      <c r="F85" s="505" t="s">
        <v>1810</v>
      </c>
      <c r="G85" s="14"/>
      <c r="H85" s="14"/>
    </row>
    <row r="86" spans="1:8">
      <c r="A86" s="504"/>
      <c r="B86" s="504"/>
      <c r="C86" s="504"/>
      <c r="D86" s="504"/>
      <c r="E86" s="504"/>
      <c r="F86" s="504"/>
      <c r="G86" s="14"/>
      <c r="H86" s="14"/>
    </row>
    <row r="87" spans="1:8">
      <c r="A87" s="504"/>
      <c r="B87" s="504"/>
      <c r="C87" s="504"/>
      <c r="D87" s="504"/>
      <c r="E87" s="504"/>
      <c r="F87" s="504"/>
      <c r="G87" s="14"/>
      <c r="H87" s="14"/>
    </row>
    <row r="88" spans="1:8" ht="25.5">
      <c r="A88" s="504" t="s">
        <v>1730</v>
      </c>
      <c r="B88" s="506" t="s">
        <v>1731</v>
      </c>
      <c r="C88" s="504" t="s">
        <v>60</v>
      </c>
      <c r="D88" s="504">
        <v>18</v>
      </c>
      <c r="E88" s="504" t="s">
        <v>61</v>
      </c>
      <c r="F88" s="504" t="s">
        <v>1811</v>
      </c>
      <c r="G88" s="14"/>
      <c r="H88" s="14"/>
    </row>
    <row r="89" spans="1:8">
      <c r="A89" s="505">
        <v>11050</v>
      </c>
      <c r="B89" s="504" t="s">
        <v>1812</v>
      </c>
      <c r="C89" s="504" t="s">
        <v>202</v>
      </c>
      <c r="D89" s="504"/>
      <c r="E89" s="505">
        <v>205</v>
      </c>
      <c r="F89" s="505" t="s">
        <v>1813</v>
      </c>
      <c r="G89" s="14"/>
      <c r="H89" s="14"/>
    </row>
    <row r="90" spans="1:8">
      <c r="A90" s="505">
        <v>96217</v>
      </c>
      <c r="B90" s="504" t="s">
        <v>1814</v>
      </c>
      <c r="C90" s="504" t="s">
        <v>202</v>
      </c>
      <c r="D90" s="504"/>
      <c r="E90" s="505">
        <v>93</v>
      </c>
      <c r="F90" s="505" t="s">
        <v>1815</v>
      </c>
      <c r="G90" s="14"/>
      <c r="H90" s="14"/>
    </row>
    <row r="91" spans="1:8">
      <c r="A91" s="504"/>
      <c r="B91" s="504"/>
      <c r="C91" s="504"/>
      <c r="D91" s="504"/>
      <c r="E91" s="504"/>
      <c r="F91" s="504"/>
      <c r="G91" s="14"/>
      <c r="H91" s="14"/>
    </row>
    <row r="92" spans="1:8">
      <c r="A92" s="504"/>
      <c r="B92" s="504"/>
      <c r="C92" s="504"/>
      <c r="D92" s="504"/>
      <c r="E92" s="504"/>
      <c r="F92" s="504"/>
      <c r="G92" s="14"/>
      <c r="H92" s="14"/>
    </row>
    <row r="93" spans="1:8" ht="25.5">
      <c r="A93" s="504" t="s">
        <v>1730</v>
      </c>
      <c r="B93" s="506" t="s">
        <v>1731</v>
      </c>
      <c r="C93" s="504" t="s">
        <v>60</v>
      </c>
      <c r="D93" s="504">
        <v>19</v>
      </c>
      <c r="E93" s="504" t="s">
        <v>61</v>
      </c>
      <c r="F93" s="504" t="s">
        <v>1816</v>
      </c>
      <c r="G93" s="14"/>
      <c r="H93" s="14"/>
    </row>
    <row r="94" spans="1:8">
      <c r="A94" s="505">
        <v>29009</v>
      </c>
      <c r="B94" s="504" t="s">
        <v>1817</v>
      </c>
      <c r="C94" s="504" t="s">
        <v>168</v>
      </c>
      <c r="D94" s="504"/>
      <c r="E94" s="505">
        <v>103</v>
      </c>
      <c r="F94" s="505" t="s">
        <v>1818</v>
      </c>
      <c r="G94" s="14"/>
      <c r="H94" s="14"/>
    </row>
    <row r="95" spans="1:8">
      <c r="A95" s="505">
        <v>15093</v>
      </c>
      <c r="B95" s="504" t="s">
        <v>1819</v>
      </c>
      <c r="C95" s="504" t="s">
        <v>168</v>
      </c>
      <c r="D95" s="504"/>
      <c r="E95" s="505">
        <v>193</v>
      </c>
      <c r="F95" s="505" t="s">
        <v>1820</v>
      </c>
      <c r="G95" s="14"/>
      <c r="H95" s="14"/>
    </row>
    <row r="96" spans="1:8">
      <c r="A96" s="504"/>
      <c r="B96" s="504"/>
      <c r="C96" s="504"/>
      <c r="D96" s="504"/>
      <c r="E96" s="504"/>
      <c r="F96" s="504"/>
      <c r="G96" s="14"/>
      <c r="H96" s="14"/>
    </row>
    <row r="97" spans="1:8">
      <c r="A97" s="504"/>
      <c r="B97" s="504"/>
      <c r="C97" s="504"/>
      <c r="D97" s="504"/>
      <c r="E97" s="504"/>
      <c r="F97" s="504"/>
      <c r="G97" s="14"/>
      <c r="H97" s="14"/>
    </row>
    <row r="98" spans="1:8" ht="25.5">
      <c r="A98" s="504" t="s">
        <v>1730</v>
      </c>
      <c r="B98" s="506" t="s">
        <v>1731</v>
      </c>
      <c r="C98" s="504" t="s">
        <v>60</v>
      </c>
      <c r="D98" s="504">
        <v>20</v>
      </c>
      <c r="E98" s="504" t="s">
        <v>61</v>
      </c>
      <c r="F98" s="504" t="s">
        <v>1821</v>
      </c>
      <c r="G98" s="14"/>
      <c r="H98" s="14"/>
    </row>
    <row r="99" spans="1:8">
      <c r="A99" s="505">
        <v>99505</v>
      </c>
      <c r="B99" s="504" t="s">
        <v>1822</v>
      </c>
      <c r="C99" s="504" t="s">
        <v>202</v>
      </c>
      <c r="D99" s="504"/>
      <c r="E99" s="505">
        <v>218</v>
      </c>
      <c r="F99" s="505" t="s">
        <v>1823</v>
      </c>
      <c r="G99" s="14"/>
      <c r="H99" s="14"/>
    </row>
    <row r="100" spans="1:8">
      <c r="A100" s="505">
        <v>27088</v>
      </c>
      <c r="B100" s="504" t="s">
        <v>1824</v>
      </c>
      <c r="C100" s="504" t="s">
        <v>168</v>
      </c>
      <c r="D100" s="504"/>
      <c r="E100" s="505">
        <v>70</v>
      </c>
      <c r="F100" s="505" t="s">
        <v>1825</v>
      </c>
      <c r="G100" s="14"/>
      <c r="H100" s="14"/>
    </row>
    <row r="101" spans="1:8">
      <c r="A101" s="504"/>
      <c r="B101" s="504"/>
      <c r="C101" s="504"/>
      <c r="D101" s="504"/>
      <c r="E101" s="504"/>
      <c r="F101" s="504"/>
      <c r="G101" s="14"/>
      <c r="H101" s="14"/>
    </row>
    <row r="102" spans="1:8">
      <c r="A102" s="504"/>
      <c r="B102" s="504"/>
      <c r="C102" s="504"/>
      <c r="D102" s="504"/>
      <c r="E102" s="504"/>
      <c r="F102" s="504"/>
      <c r="G102" s="14"/>
      <c r="H102" s="14"/>
    </row>
    <row r="103" spans="1:8" ht="25.5">
      <c r="A103" s="504" t="s">
        <v>1730</v>
      </c>
      <c r="B103" s="506" t="s">
        <v>1731</v>
      </c>
      <c r="C103" s="504" t="s">
        <v>60</v>
      </c>
      <c r="D103" s="504">
        <v>21</v>
      </c>
      <c r="E103" s="504" t="s">
        <v>61</v>
      </c>
      <c r="F103" s="504" t="s">
        <v>1826</v>
      </c>
      <c r="G103" s="14"/>
      <c r="H103" s="14"/>
    </row>
    <row r="104" spans="1:8">
      <c r="A104" s="505">
        <v>13027</v>
      </c>
      <c r="B104" s="504" t="s">
        <v>1827</v>
      </c>
      <c r="C104" s="504" t="s">
        <v>1202</v>
      </c>
      <c r="D104" s="504"/>
      <c r="E104" s="505">
        <v>107</v>
      </c>
      <c r="F104" s="505" t="s">
        <v>1828</v>
      </c>
      <c r="G104" s="14"/>
      <c r="H104" s="14"/>
    </row>
    <row r="105" spans="1:8">
      <c r="A105" s="505">
        <v>13029</v>
      </c>
      <c r="B105" s="504" t="s">
        <v>1829</v>
      </c>
      <c r="C105" s="504" t="s">
        <v>1202</v>
      </c>
      <c r="D105" s="504"/>
      <c r="E105" s="505">
        <v>117</v>
      </c>
      <c r="F105" s="505" t="s">
        <v>1830</v>
      </c>
      <c r="G105" s="14"/>
      <c r="H105" s="14"/>
    </row>
    <row r="106" spans="1:8">
      <c r="A106" s="504"/>
      <c r="B106" s="504"/>
      <c r="C106" s="504"/>
      <c r="D106" s="504"/>
      <c r="E106" s="504"/>
      <c r="F106" s="504"/>
      <c r="G106" s="14"/>
      <c r="H106" s="14"/>
    </row>
    <row r="107" spans="1:8">
      <c r="A107" s="504"/>
      <c r="B107" s="504"/>
      <c r="C107" s="504"/>
      <c r="D107" s="504"/>
      <c r="E107" s="504"/>
      <c r="F107" s="504"/>
      <c r="G107" s="14"/>
      <c r="H107" s="14"/>
    </row>
    <row r="108" spans="1:8" ht="25.5">
      <c r="A108" s="504" t="s">
        <v>1730</v>
      </c>
      <c r="B108" s="506" t="s">
        <v>1731</v>
      </c>
      <c r="C108" s="504" t="s">
        <v>60</v>
      </c>
      <c r="D108" s="504">
        <v>22</v>
      </c>
      <c r="E108" s="504" t="s">
        <v>61</v>
      </c>
      <c r="F108" s="504" t="s">
        <v>1831</v>
      </c>
      <c r="G108" s="14"/>
      <c r="H108" s="14"/>
    </row>
    <row r="109" spans="1:8">
      <c r="A109" s="505">
        <v>10159</v>
      </c>
      <c r="B109" s="504" t="s">
        <v>1832</v>
      </c>
      <c r="C109" s="504" t="s">
        <v>1466</v>
      </c>
      <c r="D109" s="504"/>
      <c r="E109" s="505">
        <v>189</v>
      </c>
      <c r="F109" s="505" t="s">
        <v>1833</v>
      </c>
      <c r="G109" s="14"/>
      <c r="H109" s="14"/>
    </row>
    <row r="110" spans="1:8">
      <c r="A110" s="505">
        <v>10163</v>
      </c>
      <c r="B110" s="504" t="s">
        <v>1834</v>
      </c>
      <c r="C110" s="504" t="s">
        <v>1466</v>
      </c>
      <c r="D110" s="504"/>
      <c r="E110" s="505">
        <v>58</v>
      </c>
      <c r="F110" s="505" t="s">
        <v>1835</v>
      </c>
      <c r="G110" s="14"/>
      <c r="H110" s="14"/>
    </row>
    <row r="111" spans="1:8">
      <c r="A111" s="504"/>
      <c r="B111" s="504"/>
      <c r="C111" s="504"/>
      <c r="D111" s="504"/>
      <c r="E111" s="504"/>
      <c r="F111" s="504"/>
      <c r="G111" s="14"/>
      <c r="H111" s="14"/>
    </row>
    <row r="112" spans="1:8">
      <c r="A112" s="504"/>
      <c r="B112" s="504"/>
      <c r="C112" s="504"/>
      <c r="D112" s="504"/>
      <c r="E112" s="504"/>
      <c r="F112" s="504"/>
      <c r="G112" s="14"/>
      <c r="H112" s="14"/>
    </row>
    <row r="113" spans="1:8" ht="25.5">
      <c r="A113" s="504" t="s">
        <v>1730</v>
      </c>
      <c r="B113" s="506" t="s">
        <v>1731</v>
      </c>
      <c r="C113" s="504" t="s">
        <v>60</v>
      </c>
      <c r="D113" s="504">
        <v>23</v>
      </c>
      <c r="E113" s="504" t="s">
        <v>61</v>
      </c>
      <c r="F113" s="504" t="s">
        <v>1836</v>
      </c>
      <c r="G113" s="14"/>
      <c r="H113" s="14"/>
    </row>
    <row r="114" spans="1:8">
      <c r="A114" s="505">
        <v>12083</v>
      </c>
      <c r="B114" s="504" t="s">
        <v>1837</v>
      </c>
      <c r="C114" s="504" t="s">
        <v>576</v>
      </c>
      <c r="D114" s="504"/>
      <c r="E114" s="505">
        <v>136</v>
      </c>
      <c r="F114" s="505" t="s">
        <v>1838</v>
      </c>
      <c r="G114" s="14"/>
      <c r="H114" s="14"/>
    </row>
    <row r="115" spans="1:8">
      <c r="A115" s="505">
        <v>12085</v>
      </c>
      <c r="B115" s="504" t="s">
        <v>1839</v>
      </c>
      <c r="C115" s="504" t="s">
        <v>576</v>
      </c>
      <c r="D115" s="504"/>
      <c r="E115" s="505">
        <v>138</v>
      </c>
      <c r="F115" s="505" t="s">
        <v>1840</v>
      </c>
      <c r="G115" s="14"/>
      <c r="H115" s="14"/>
    </row>
    <row r="116" spans="1:8">
      <c r="A116" s="504"/>
      <c r="B116" s="504"/>
      <c r="C116" s="504"/>
      <c r="D116" s="504"/>
      <c r="E116" s="504"/>
      <c r="F116" s="504"/>
      <c r="G116" s="14"/>
      <c r="H116" s="14"/>
    </row>
    <row r="117" spans="1:8">
      <c r="A117" s="504"/>
      <c r="B117" s="504"/>
      <c r="C117" s="504"/>
      <c r="D117" s="504"/>
      <c r="E117" s="504"/>
      <c r="F117" s="504"/>
      <c r="G117" s="14"/>
      <c r="H117" s="14"/>
    </row>
    <row r="118" spans="1:8" ht="25.5">
      <c r="A118" s="504" t="s">
        <v>1730</v>
      </c>
      <c r="B118" s="506" t="s">
        <v>1731</v>
      </c>
      <c r="C118" s="504" t="s">
        <v>60</v>
      </c>
      <c r="D118" s="504">
        <v>24</v>
      </c>
      <c r="E118" s="504" t="s">
        <v>61</v>
      </c>
      <c r="F118" s="504" t="s">
        <v>1841</v>
      </c>
      <c r="G118" s="14"/>
      <c r="H118" s="14"/>
    </row>
    <row r="119" spans="1:8">
      <c r="A119" s="505">
        <v>16109</v>
      </c>
      <c r="B119" s="504" t="s">
        <v>1842</v>
      </c>
      <c r="C119" s="504" t="s">
        <v>1202</v>
      </c>
      <c r="D119" s="504"/>
      <c r="E119" s="505">
        <v>190</v>
      </c>
      <c r="F119" s="505" t="s">
        <v>1843</v>
      </c>
      <c r="G119" s="14"/>
      <c r="H119" s="14"/>
    </row>
    <row r="120" spans="1:8">
      <c r="A120" s="505">
        <v>12042</v>
      </c>
      <c r="B120" s="504" t="s">
        <v>1844</v>
      </c>
      <c r="C120" s="504" t="s">
        <v>576</v>
      </c>
      <c r="D120" s="504"/>
      <c r="E120" s="505">
        <v>124</v>
      </c>
      <c r="F120" s="505" t="s">
        <v>1845</v>
      </c>
      <c r="G120" s="14"/>
      <c r="H120" s="14"/>
    </row>
    <row r="121" spans="1:8">
      <c r="A121" s="504"/>
      <c r="B121" s="504"/>
      <c r="C121" s="504"/>
      <c r="D121" s="504"/>
      <c r="E121" s="504"/>
      <c r="F121" s="504"/>
      <c r="G121" s="14"/>
      <c r="H121" s="14"/>
    </row>
    <row r="122" spans="1:8">
      <c r="A122" s="504"/>
      <c r="B122" s="504"/>
      <c r="C122" s="504"/>
      <c r="D122" s="504"/>
      <c r="E122" s="504"/>
      <c r="F122" s="504"/>
      <c r="G122" s="14"/>
      <c r="H122" s="14"/>
    </row>
    <row r="123" spans="1:8" ht="25.5">
      <c r="A123" s="504" t="s">
        <v>1730</v>
      </c>
      <c r="B123" s="506" t="s">
        <v>1731</v>
      </c>
      <c r="C123" s="504" t="s">
        <v>60</v>
      </c>
      <c r="D123" s="504">
        <v>25</v>
      </c>
      <c r="E123" s="504" t="s">
        <v>61</v>
      </c>
      <c r="F123" s="504" t="s">
        <v>1846</v>
      </c>
      <c r="G123" s="14"/>
      <c r="H123" s="14"/>
    </row>
    <row r="124" spans="1:8">
      <c r="A124" s="505">
        <v>25011</v>
      </c>
      <c r="B124" s="504" t="s">
        <v>1847</v>
      </c>
      <c r="C124" s="504" t="s">
        <v>331</v>
      </c>
      <c r="D124" s="504"/>
      <c r="E124" s="505">
        <v>170</v>
      </c>
      <c r="F124" s="505" t="s">
        <v>1848</v>
      </c>
      <c r="G124" s="14"/>
      <c r="H124" s="14"/>
    </row>
    <row r="125" spans="1:8">
      <c r="A125" s="505">
        <v>23131</v>
      </c>
      <c r="B125" s="504" t="s">
        <v>1849</v>
      </c>
      <c r="C125" s="504" t="s">
        <v>163</v>
      </c>
      <c r="D125" s="504"/>
      <c r="E125" s="505">
        <v>96</v>
      </c>
      <c r="F125" s="505" t="s">
        <v>1850</v>
      </c>
      <c r="G125" s="14"/>
      <c r="H125" s="14"/>
    </row>
    <row r="126" spans="1:8">
      <c r="A126" s="504"/>
      <c r="B126" s="504"/>
      <c r="C126" s="504"/>
      <c r="D126" s="504"/>
      <c r="E126" s="504"/>
      <c r="F126" s="504"/>
      <c r="G126" s="14"/>
      <c r="H126" s="14"/>
    </row>
    <row r="127" spans="1:8">
      <c r="A127" s="504"/>
      <c r="B127" s="504"/>
      <c r="C127" s="504"/>
      <c r="D127" s="504"/>
      <c r="E127" s="504"/>
      <c r="F127" s="504"/>
      <c r="G127" s="14"/>
      <c r="H127" s="14"/>
    </row>
    <row r="128" spans="1:8" ht="25.5">
      <c r="A128" s="504" t="s">
        <v>1730</v>
      </c>
      <c r="B128" s="506" t="s">
        <v>1731</v>
      </c>
      <c r="C128" s="504" t="s">
        <v>60</v>
      </c>
      <c r="D128" s="504">
        <v>26</v>
      </c>
      <c r="E128" s="504" t="s">
        <v>61</v>
      </c>
      <c r="F128" s="504" t="s">
        <v>1851</v>
      </c>
      <c r="G128" s="14"/>
      <c r="H128" s="14"/>
    </row>
    <row r="129" spans="1:8">
      <c r="A129" s="505">
        <v>13004</v>
      </c>
      <c r="B129" s="504" t="s">
        <v>1852</v>
      </c>
      <c r="C129" s="504" t="s">
        <v>202</v>
      </c>
      <c r="D129" s="504"/>
      <c r="E129" s="505">
        <v>149</v>
      </c>
      <c r="F129" s="505" t="s">
        <v>1853</v>
      </c>
      <c r="G129" s="14"/>
      <c r="H129" s="14"/>
    </row>
    <row r="130" spans="1:8">
      <c r="A130" s="505">
        <v>13001</v>
      </c>
      <c r="B130" s="504" t="s">
        <v>1854</v>
      </c>
      <c r="C130" s="504" t="s">
        <v>202</v>
      </c>
      <c r="D130" s="504"/>
      <c r="E130" s="505">
        <v>88</v>
      </c>
      <c r="F130" s="505" t="s">
        <v>1855</v>
      </c>
      <c r="G130" s="14"/>
      <c r="H130" s="14"/>
    </row>
    <row r="131" spans="1:8">
      <c r="A131" s="504"/>
      <c r="B131" s="504"/>
      <c r="C131" s="504"/>
      <c r="D131" s="504"/>
      <c r="E131" s="504"/>
      <c r="F131" s="504"/>
      <c r="G131" s="14"/>
      <c r="H131" s="14"/>
    </row>
    <row r="132" spans="1:8">
      <c r="A132" s="504"/>
      <c r="B132" s="504"/>
      <c r="C132" s="504"/>
      <c r="D132" s="504"/>
      <c r="E132" s="504"/>
      <c r="F132" s="504"/>
      <c r="G132" s="14"/>
      <c r="H132" s="14"/>
    </row>
    <row r="133" spans="1:8" ht="25.5">
      <c r="A133" s="504" t="s">
        <v>1730</v>
      </c>
      <c r="B133" s="506" t="s">
        <v>1731</v>
      </c>
      <c r="C133" s="504" t="s">
        <v>60</v>
      </c>
      <c r="D133" s="504">
        <v>27</v>
      </c>
      <c r="E133" s="504" t="s">
        <v>61</v>
      </c>
      <c r="F133" s="504" t="s">
        <v>1856</v>
      </c>
      <c r="G133" s="14"/>
      <c r="H133" s="14"/>
    </row>
    <row r="134" spans="1:8">
      <c r="A134" s="505">
        <v>11048</v>
      </c>
      <c r="B134" s="504" t="s">
        <v>1857</v>
      </c>
      <c r="C134" s="504" t="s">
        <v>495</v>
      </c>
      <c r="D134" s="504"/>
      <c r="E134" s="505">
        <v>151</v>
      </c>
      <c r="F134" s="505" t="s">
        <v>1858</v>
      </c>
      <c r="G134" s="14"/>
      <c r="H134" s="14"/>
    </row>
    <row r="135" spans="1:8">
      <c r="A135" s="505">
        <v>14100</v>
      </c>
      <c r="B135" s="504" t="s">
        <v>1859</v>
      </c>
      <c r="C135" s="504" t="s">
        <v>495</v>
      </c>
      <c r="D135" s="504"/>
      <c r="E135" s="505">
        <v>161</v>
      </c>
      <c r="F135" s="505" t="s">
        <v>1860</v>
      </c>
      <c r="G135" s="14"/>
      <c r="H135" s="14"/>
    </row>
    <row r="136" spans="1:8">
      <c r="A136" s="504"/>
      <c r="B136" s="504"/>
      <c r="C136" s="504"/>
      <c r="D136" s="504"/>
      <c r="E136" s="504"/>
      <c r="F136" s="504"/>
      <c r="G136" s="14"/>
      <c r="H136" s="14"/>
    </row>
    <row r="137" spans="1:8">
      <c r="A137" s="504"/>
      <c r="B137" s="504"/>
      <c r="C137" s="504"/>
      <c r="D137" s="504"/>
      <c r="E137" s="504"/>
      <c r="F137" s="504"/>
      <c r="G137" s="14"/>
      <c r="H137" s="14"/>
    </row>
    <row r="138" spans="1:8" ht="25.5">
      <c r="A138" s="504" t="s">
        <v>1730</v>
      </c>
      <c r="B138" s="506" t="s">
        <v>1731</v>
      </c>
      <c r="C138" s="504" t="s">
        <v>60</v>
      </c>
      <c r="D138" s="504">
        <v>28</v>
      </c>
      <c r="E138" s="504" t="s">
        <v>61</v>
      </c>
      <c r="F138" s="504" t="s">
        <v>1861</v>
      </c>
      <c r="G138" s="14"/>
      <c r="H138" s="14"/>
    </row>
    <row r="139" spans="1:8">
      <c r="A139" s="505">
        <v>25014</v>
      </c>
      <c r="B139" s="504" t="s">
        <v>1862</v>
      </c>
      <c r="C139" s="504" t="s">
        <v>331</v>
      </c>
      <c r="D139" s="504"/>
      <c r="E139" s="505">
        <v>100</v>
      </c>
      <c r="F139" s="505" t="s">
        <v>1863</v>
      </c>
      <c r="G139" s="14"/>
      <c r="H139" s="14"/>
    </row>
    <row r="140" spans="1:8">
      <c r="A140" s="505">
        <v>12073</v>
      </c>
      <c r="B140" s="504" t="s">
        <v>1864</v>
      </c>
      <c r="C140" s="504" t="s">
        <v>331</v>
      </c>
      <c r="D140" s="504"/>
      <c r="E140" s="505">
        <v>122</v>
      </c>
      <c r="F140" s="505" t="s">
        <v>1865</v>
      </c>
      <c r="G140" s="14"/>
      <c r="H140" s="14"/>
    </row>
    <row r="141" spans="1:8">
      <c r="A141" s="504"/>
      <c r="B141" s="504"/>
      <c r="C141" s="504"/>
      <c r="D141" s="504"/>
      <c r="E141" s="504"/>
      <c r="F141" s="504"/>
      <c r="G141" s="14"/>
      <c r="H141" s="14"/>
    </row>
    <row r="142" spans="1:8">
      <c r="A142" s="504"/>
      <c r="B142" s="504"/>
      <c r="C142" s="504"/>
      <c r="D142" s="504"/>
      <c r="E142" s="504"/>
      <c r="F142" s="504"/>
      <c r="G142" s="14"/>
      <c r="H142" s="14"/>
    </row>
    <row r="143" spans="1:8" ht="25.5">
      <c r="A143" s="504" t="s">
        <v>1730</v>
      </c>
      <c r="B143" s="506" t="s">
        <v>1731</v>
      </c>
      <c r="C143" s="504" t="s">
        <v>60</v>
      </c>
      <c r="D143" s="504">
        <v>29</v>
      </c>
      <c r="E143" s="504" t="s">
        <v>61</v>
      </c>
      <c r="F143" s="504" t="s">
        <v>1866</v>
      </c>
      <c r="G143" s="14"/>
      <c r="H143" s="14"/>
    </row>
    <row r="144" spans="1:8">
      <c r="A144" s="505">
        <v>13077</v>
      </c>
      <c r="B144" s="504" t="s">
        <v>1867</v>
      </c>
      <c r="C144" s="504" t="s">
        <v>242</v>
      </c>
      <c r="D144" s="504"/>
      <c r="E144" s="505">
        <v>112</v>
      </c>
      <c r="F144" s="505" t="s">
        <v>1868</v>
      </c>
      <c r="G144" s="14"/>
      <c r="H144" s="14"/>
    </row>
    <row r="145" spans="1:8">
      <c r="A145" s="505">
        <v>13078</v>
      </c>
      <c r="B145" s="504" t="s">
        <v>1869</v>
      </c>
      <c r="C145" s="504" t="s">
        <v>242</v>
      </c>
      <c r="D145" s="504"/>
      <c r="E145" s="505">
        <v>135</v>
      </c>
      <c r="F145" s="505" t="s">
        <v>1870</v>
      </c>
      <c r="G145" s="14"/>
      <c r="H145" s="14"/>
    </row>
    <row r="146" spans="1:8">
      <c r="A146" s="504"/>
      <c r="B146" s="504"/>
      <c r="C146" s="504"/>
      <c r="D146" s="504"/>
      <c r="E146" s="504"/>
      <c r="F146" s="504"/>
      <c r="G146" s="14"/>
      <c r="H146" s="14"/>
    </row>
    <row r="147" spans="1:8">
      <c r="A147" s="504"/>
      <c r="B147" s="504"/>
      <c r="C147" s="504"/>
      <c r="D147" s="504"/>
      <c r="E147" s="504"/>
      <c r="F147" s="504"/>
      <c r="G147" s="14"/>
      <c r="H147" s="14"/>
    </row>
    <row r="148" spans="1:8" ht="25.5">
      <c r="A148" s="504" t="s">
        <v>1730</v>
      </c>
      <c r="B148" s="506" t="s">
        <v>1731</v>
      </c>
      <c r="C148" s="504" t="s">
        <v>60</v>
      </c>
      <c r="D148" s="504">
        <v>30</v>
      </c>
      <c r="E148" s="504" t="s">
        <v>61</v>
      </c>
      <c r="F148" s="504" t="s">
        <v>1871</v>
      </c>
      <c r="G148" s="14"/>
      <c r="H148" s="14"/>
    </row>
    <row r="149" spans="1:8">
      <c r="A149" s="505">
        <v>15059</v>
      </c>
      <c r="B149" s="504" t="s">
        <v>1872</v>
      </c>
      <c r="C149" s="504" t="s">
        <v>472</v>
      </c>
      <c r="D149" s="504"/>
      <c r="E149" s="505">
        <v>153</v>
      </c>
      <c r="F149" s="505" t="s">
        <v>1873</v>
      </c>
      <c r="G149" s="14"/>
      <c r="H149" s="14"/>
    </row>
    <row r="150" spans="1:8">
      <c r="A150" s="505">
        <v>15020</v>
      </c>
      <c r="B150" s="504" t="s">
        <v>1874</v>
      </c>
      <c r="C150" s="504" t="s">
        <v>1393</v>
      </c>
      <c r="D150" s="504"/>
      <c r="E150" s="505">
        <v>185</v>
      </c>
      <c r="F150" s="505" t="s">
        <v>1875</v>
      </c>
      <c r="G150" s="14"/>
      <c r="H150" s="14"/>
    </row>
    <row r="151" spans="1:8">
      <c r="A151" s="504"/>
      <c r="B151" s="504"/>
      <c r="C151" s="504"/>
      <c r="D151" s="504"/>
      <c r="E151" s="504"/>
      <c r="F151" s="504"/>
      <c r="G151" s="14"/>
      <c r="H151" s="14"/>
    </row>
    <row r="152" spans="1:8">
      <c r="A152" s="504"/>
      <c r="B152" s="504"/>
      <c r="C152" s="504"/>
      <c r="D152" s="504"/>
      <c r="E152" s="504"/>
      <c r="F152" s="504"/>
      <c r="G152" s="14"/>
      <c r="H152" s="14"/>
    </row>
    <row r="153" spans="1:8" ht="25.5">
      <c r="A153" s="504" t="s">
        <v>1730</v>
      </c>
      <c r="B153" s="506" t="s">
        <v>1731</v>
      </c>
      <c r="C153" s="504" t="s">
        <v>60</v>
      </c>
      <c r="D153" s="504">
        <v>31</v>
      </c>
      <c r="E153" s="504" t="s">
        <v>61</v>
      </c>
      <c r="F153" s="504" t="s">
        <v>1876</v>
      </c>
      <c r="G153" s="14"/>
      <c r="H153" s="14"/>
    </row>
    <row r="154" spans="1:8">
      <c r="A154" s="505">
        <v>16077</v>
      </c>
      <c r="B154" s="504" t="s">
        <v>1877</v>
      </c>
      <c r="C154" s="504" t="s">
        <v>1878</v>
      </c>
      <c r="D154" s="504"/>
      <c r="E154" s="505">
        <v>231</v>
      </c>
      <c r="F154" s="505" t="s">
        <v>1879</v>
      </c>
      <c r="G154" s="14"/>
      <c r="H154" s="14"/>
    </row>
    <row r="155" spans="1:8">
      <c r="A155" s="505">
        <v>16086</v>
      </c>
      <c r="B155" s="504" t="s">
        <v>1880</v>
      </c>
      <c r="C155" s="504" t="s">
        <v>1878</v>
      </c>
      <c r="D155" s="504"/>
      <c r="E155" s="505">
        <v>265</v>
      </c>
      <c r="F155" s="505" t="s">
        <v>1881</v>
      </c>
      <c r="G155" s="14"/>
      <c r="H155" s="14"/>
    </row>
    <row r="156" spans="1:8">
      <c r="A156" s="504"/>
      <c r="B156" s="504"/>
      <c r="C156" s="504"/>
      <c r="D156" s="504"/>
      <c r="E156" s="504"/>
      <c r="F156" s="504"/>
      <c r="G156" s="14"/>
      <c r="H156" s="14"/>
    </row>
    <row r="157" spans="1:8">
      <c r="A157" s="504"/>
      <c r="B157" s="504"/>
      <c r="C157" s="504"/>
      <c r="D157" s="504"/>
      <c r="E157" s="504"/>
      <c r="F157" s="504"/>
      <c r="G157" s="14"/>
      <c r="H157" s="14"/>
    </row>
    <row r="158" spans="1:8" ht="25.5">
      <c r="A158" s="504" t="s">
        <v>1730</v>
      </c>
      <c r="B158" s="506" t="s">
        <v>1731</v>
      </c>
      <c r="C158" s="504" t="s">
        <v>60</v>
      </c>
      <c r="D158" s="504">
        <v>32</v>
      </c>
      <c r="E158" s="504" t="s">
        <v>61</v>
      </c>
      <c r="F158" s="504" t="s">
        <v>1882</v>
      </c>
      <c r="G158" s="14"/>
      <c r="H158" s="14"/>
    </row>
    <row r="159" spans="1:8">
      <c r="A159" s="505">
        <v>15033</v>
      </c>
      <c r="B159" s="504" t="s">
        <v>1883</v>
      </c>
      <c r="C159" s="504" t="s">
        <v>576</v>
      </c>
      <c r="D159" s="504"/>
      <c r="E159" s="505">
        <v>194</v>
      </c>
      <c r="F159" s="505" t="s">
        <v>1884</v>
      </c>
      <c r="G159" s="14"/>
      <c r="H159" s="14"/>
    </row>
    <row r="160" spans="1:8">
      <c r="A160" s="505">
        <v>15034</v>
      </c>
      <c r="B160" s="504" t="s">
        <v>1885</v>
      </c>
      <c r="C160" s="504" t="s">
        <v>576</v>
      </c>
      <c r="D160" s="504"/>
      <c r="E160" s="505">
        <v>175</v>
      </c>
      <c r="F160" s="505" t="s">
        <v>1886</v>
      </c>
      <c r="G160" s="14"/>
      <c r="H160" s="14"/>
    </row>
    <row r="161" spans="1:8">
      <c r="A161" s="504"/>
      <c r="B161" s="504"/>
      <c r="C161" s="504"/>
      <c r="D161" s="504"/>
      <c r="E161" s="504"/>
      <c r="F161" s="504"/>
      <c r="G161" s="14"/>
      <c r="H161" s="14"/>
    </row>
    <row r="162" spans="1:8">
      <c r="A162" s="504"/>
      <c r="B162" s="504"/>
      <c r="C162" s="504"/>
      <c r="D162" s="504"/>
      <c r="E162" s="504"/>
      <c r="F162" s="504"/>
      <c r="G162" s="14"/>
      <c r="H162" s="14"/>
    </row>
    <row r="163" spans="1:8" ht="25.5">
      <c r="A163" s="504" t="s">
        <v>1730</v>
      </c>
      <c r="B163" s="506" t="s">
        <v>1731</v>
      </c>
      <c r="C163" s="504" t="s">
        <v>60</v>
      </c>
      <c r="D163" s="504">
        <v>33</v>
      </c>
      <c r="E163" s="504" t="s">
        <v>61</v>
      </c>
      <c r="F163" s="504" t="s">
        <v>1887</v>
      </c>
      <c r="G163" s="14"/>
      <c r="H163" s="14"/>
    </row>
    <row r="164" spans="1:8">
      <c r="A164" s="505">
        <v>25017</v>
      </c>
      <c r="B164" s="504" t="s">
        <v>1888</v>
      </c>
      <c r="C164" s="504" t="s">
        <v>331</v>
      </c>
      <c r="D164" s="504"/>
      <c r="E164" s="505">
        <v>50</v>
      </c>
      <c r="F164" s="505" t="s">
        <v>1889</v>
      </c>
      <c r="G164" s="14"/>
      <c r="H164" s="14"/>
    </row>
    <row r="165" spans="1:8">
      <c r="A165" s="505"/>
      <c r="B165" s="504" t="s">
        <v>1890</v>
      </c>
      <c r="C165" s="504"/>
      <c r="D165" s="504" t="s">
        <v>1891</v>
      </c>
      <c r="E165" s="505"/>
      <c r="F165" s="505">
        <v>0</v>
      </c>
      <c r="G165" s="14"/>
      <c r="H165" s="14"/>
    </row>
    <row r="166" spans="1:8">
      <c r="A166" s="504"/>
      <c r="B166" s="504"/>
      <c r="C166" s="504"/>
      <c r="D166" s="504"/>
      <c r="E166" s="504"/>
      <c r="F166" s="504"/>
      <c r="G166" s="14"/>
      <c r="H166" s="14"/>
    </row>
    <row r="167" spans="1:8">
      <c r="A167" s="504"/>
      <c r="B167" s="504"/>
      <c r="C167" s="504"/>
      <c r="D167" s="504"/>
      <c r="E167" s="504"/>
      <c r="F167" s="504"/>
      <c r="G167" s="14"/>
      <c r="H167" s="14"/>
    </row>
    <row r="168" spans="1:8" ht="25.5">
      <c r="A168" s="504" t="s">
        <v>1730</v>
      </c>
      <c r="B168" s="506" t="s">
        <v>1731</v>
      </c>
      <c r="C168" s="504" t="s">
        <v>60</v>
      </c>
      <c r="D168" s="504">
        <v>34</v>
      </c>
      <c r="E168" s="504" t="s">
        <v>61</v>
      </c>
      <c r="F168" s="504" t="s">
        <v>1892</v>
      </c>
      <c r="G168" s="14"/>
      <c r="H168" s="14"/>
    </row>
    <row r="169" spans="1:8">
      <c r="A169" s="505">
        <v>20676</v>
      </c>
      <c r="B169" s="504" t="s">
        <v>1893</v>
      </c>
      <c r="C169" s="504" t="s">
        <v>1894</v>
      </c>
      <c r="D169" s="504"/>
      <c r="E169" s="505">
        <v>243</v>
      </c>
      <c r="F169" s="505" t="s">
        <v>1895</v>
      </c>
      <c r="G169" s="14"/>
      <c r="H169" s="14"/>
    </row>
    <row r="170" spans="1:8">
      <c r="A170" s="505">
        <v>10138</v>
      </c>
      <c r="B170" s="504" t="s">
        <v>1896</v>
      </c>
      <c r="C170" s="504" t="s">
        <v>1894</v>
      </c>
      <c r="D170" s="504"/>
      <c r="E170" s="505">
        <v>173</v>
      </c>
      <c r="F170" s="505" t="s">
        <v>1897</v>
      </c>
      <c r="G170" s="14"/>
      <c r="H170" s="14"/>
    </row>
    <row r="171" spans="1:8">
      <c r="A171" s="504"/>
      <c r="B171" s="504"/>
      <c r="C171" s="504"/>
      <c r="D171" s="504"/>
      <c r="E171" s="504"/>
      <c r="F171" s="504"/>
      <c r="G171" s="14"/>
      <c r="H171" s="14"/>
    </row>
    <row r="172" spans="1:8">
      <c r="A172" s="504"/>
      <c r="B172" s="504"/>
      <c r="C172" s="504"/>
      <c r="D172" s="504"/>
      <c r="E172" s="504"/>
      <c r="F172" s="504"/>
      <c r="G172" s="14"/>
      <c r="H172" s="14"/>
    </row>
    <row r="173" spans="1:8" ht="25.5">
      <c r="A173" s="504" t="s">
        <v>1730</v>
      </c>
      <c r="B173" s="506" t="s">
        <v>1731</v>
      </c>
      <c r="C173" s="504" t="s">
        <v>60</v>
      </c>
      <c r="D173" s="504">
        <v>35</v>
      </c>
      <c r="E173" s="504" t="s">
        <v>61</v>
      </c>
      <c r="F173" s="504" t="s">
        <v>1898</v>
      </c>
      <c r="G173" s="14"/>
      <c r="H173" s="14"/>
    </row>
    <row r="174" spans="1:8">
      <c r="A174" s="505">
        <v>25075</v>
      </c>
      <c r="B174" s="504" t="s">
        <v>1899</v>
      </c>
      <c r="C174" s="504" t="s">
        <v>331</v>
      </c>
      <c r="D174" s="504"/>
      <c r="E174" s="505">
        <v>147</v>
      </c>
      <c r="F174" s="505" t="s">
        <v>1900</v>
      </c>
      <c r="G174" s="14"/>
      <c r="H174" s="14"/>
    </row>
    <row r="175" spans="1:8">
      <c r="A175" s="505">
        <v>25015</v>
      </c>
      <c r="B175" s="504" t="s">
        <v>1901</v>
      </c>
      <c r="C175" s="504" t="s">
        <v>331</v>
      </c>
      <c r="D175" s="504"/>
      <c r="E175" s="505">
        <v>158</v>
      </c>
      <c r="F175" s="505" t="s">
        <v>1902</v>
      </c>
      <c r="G175" s="14"/>
      <c r="H175" s="14"/>
    </row>
    <row r="176" spans="1:8">
      <c r="A176" s="504"/>
      <c r="B176" s="504"/>
      <c r="C176" s="504"/>
      <c r="D176" s="504"/>
      <c r="E176" s="504"/>
      <c r="F176" s="504"/>
      <c r="G176" s="14"/>
      <c r="H176" s="14"/>
    </row>
    <row r="177" spans="1:8">
      <c r="A177" s="504"/>
      <c r="B177" s="504"/>
      <c r="C177" s="504"/>
      <c r="D177" s="504"/>
      <c r="E177" s="504"/>
      <c r="F177" s="504"/>
      <c r="G177" s="14"/>
      <c r="H177" s="14"/>
    </row>
    <row r="178" spans="1:8" ht="25.5">
      <c r="A178" s="504" t="s">
        <v>1730</v>
      </c>
      <c r="B178" s="506" t="s">
        <v>1731</v>
      </c>
      <c r="C178" s="504" t="s">
        <v>60</v>
      </c>
      <c r="D178" s="504">
        <v>36</v>
      </c>
      <c r="E178" s="504" t="s">
        <v>61</v>
      </c>
      <c r="F178" s="504" t="s">
        <v>1903</v>
      </c>
      <c r="G178" s="14"/>
      <c r="H178" s="14"/>
    </row>
    <row r="179" spans="1:8">
      <c r="A179" s="505">
        <v>12079</v>
      </c>
      <c r="B179" s="504" t="s">
        <v>1904</v>
      </c>
      <c r="C179" s="504" t="s">
        <v>576</v>
      </c>
      <c r="D179" s="504"/>
      <c r="E179" s="505">
        <v>224</v>
      </c>
      <c r="F179" s="505" t="s">
        <v>1905</v>
      </c>
      <c r="G179" s="14"/>
      <c r="H179" s="14"/>
    </row>
    <row r="180" spans="1:8">
      <c r="A180" s="505">
        <v>12080</v>
      </c>
      <c r="B180" s="504" t="s">
        <v>1906</v>
      </c>
      <c r="C180" s="504" t="s">
        <v>576</v>
      </c>
      <c r="D180" s="504"/>
      <c r="E180" s="505">
        <v>253</v>
      </c>
      <c r="F180" s="505" t="s">
        <v>1907</v>
      </c>
      <c r="G180" s="14"/>
      <c r="H180" s="14"/>
    </row>
    <row r="181" spans="1:8">
      <c r="A181" s="504"/>
      <c r="B181" s="504"/>
      <c r="C181" s="504"/>
      <c r="D181" s="504"/>
      <c r="E181" s="504"/>
      <c r="F181" s="504"/>
      <c r="G181" s="14"/>
      <c r="H181" s="14"/>
    </row>
    <row r="182" spans="1:8">
      <c r="A182" s="504"/>
      <c r="B182" s="504"/>
      <c r="C182" s="504"/>
      <c r="D182" s="504"/>
      <c r="E182" s="504"/>
      <c r="F182" s="504"/>
      <c r="G182" s="14"/>
      <c r="H182" s="14"/>
    </row>
    <row r="183" spans="1:8" ht="25.5">
      <c r="A183" s="504" t="s">
        <v>1730</v>
      </c>
      <c r="B183" s="506" t="s">
        <v>1731</v>
      </c>
      <c r="C183" s="504" t="s">
        <v>60</v>
      </c>
      <c r="D183" s="504">
        <v>37</v>
      </c>
      <c r="E183" s="504" t="s">
        <v>61</v>
      </c>
      <c r="F183" s="504" t="s">
        <v>1908</v>
      </c>
      <c r="G183" s="14"/>
      <c r="H183" s="14"/>
    </row>
    <row r="184" spans="1:8">
      <c r="A184" s="505">
        <v>14019</v>
      </c>
      <c r="B184" s="504" t="s">
        <v>1909</v>
      </c>
      <c r="C184" s="504" t="s">
        <v>472</v>
      </c>
      <c r="D184" s="504"/>
      <c r="E184" s="505">
        <v>105</v>
      </c>
      <c r="F184" s="505" t="s">
        <v>1910</v>
      </c>
      <c r="G184" s="14"/>
      <c r="H184" s="14"/>
    </row>
    <row r="185" spans="1:8">
      <c r="A185" s="505">
        <v>17001</v>
      </c>
      <c r="B185" s="504" t="s">
        <v>1911</v>
      </c>
      <c r="C185" s="504" t="s">
        <v>472</v>
      </c>
      <c r="D185" s="504"/>
      <c r="E185" s="505">
        <v>326</v>
      </c>
      <c r="F185" s="505" t="s">
        <v>1912</v>
      </c>
      <c r="G185" s="14"/>
      <c r="H185" s="14"/>
    </row>
    <row r="186" spans="1:8">
      <c r="A186" s="504"/>
      <c r="B186" s="504"/>
      <c r="C186" s="504"/>
      <c r="D186" s="504"/>
      <c r="E186" s="504"/>
      <c r="F186" s="504"/>
      <c r="G186" s="14"/>
      <c r="H186" s="14"/>
    </row>
    <row r="187" spans="1:8">
      <c r="A187" s="504"/>
      <c r="B187" s="504"/>
      <c r="C187" s="504"/>
      <c r="D187" s="504"/>
      <c r="E187" s="504"/>
      <c r="F187" s="504"/>
      <c r="G187" s="14"/>
      <c r="H187" s="14"/>
    </row>
    <row r="188" spans="1:8" ht="25.5">
      <c r="A188" s="504" t="s">
        <v>1730</v>
      </c>
      <c r="B188" s="506" t="s">
        <v>1731</v>
      </c>
      <c r="C188" s="504" t="s">
        <v>60</v>
      </c>
      <c r="D188" s="504">
        <v>38</v>
      </c>
      <c r="E188" s="504" t="s">
        <v>61</v>
      </c>
      <c r="F188" s="504" t="s">
        <v>1913</v>
      </c>
      <c r="G188" s="14"/>
      <c r="H188" s="14"/>
    </row>
    <row r="189" spans="1:8">
      <c r="A189" s="505">
        <v>10071</v>
      </c>
      <c r="B189" s="504" t="s">
        <v>1914</v>
      </c>
      <c r="C189" s="504" t="s">
        <v>1894</v>
      </c>
      <c r="D189" s="504"/>
      <c r="E189" s="505">
        <v>183</v>
      </c>
      <c r="F189" s="505" t="s">
        <v>1915</v>
      </c>
      <c r="G189" s="14"/>
      <c r="H189" s="14"/>
    </row>
    <row r="190" spans="1:8">
      <c r="A190" s="505">
        <v>98465</v>
      </c>
      <c r="B190" s="504" t="s">
        <v>1916</v>
      </c>
      <c r="C190" s="504" t="s">
        <v>1894</v>
      </c>
      <c r="D190" s="504"/>
      <c r="E190" s="505">
        <v>176</v>
      </c>
      <c r="F190" s="505" t="s">
        <v>1917</v>
      </c>
      <c r="G190" s="14"/>
      <c r="H190" s="14"/>
    </row>
    <row r="191" spans="1:8">
      <c r="A191" s="504"/>
      <c r="B191" s="504"/>
      <c r="C191" s="504"/>
      <c r="D191" s="504"/>
      <c r="E191" s="504"/>
      <c r="F191" s="504"/>
      <c r="G191" s="14"/>
      <c r="H191" s="14"/>
    </row>
    <row r="192" spans="1:8">
      <c r="A192" s="504"/>
      <c r="B192" s="504"/>
      <c r="C192" s="504"/>
      <c r="D192" s="504"/>
      <c r="E192" s="504"/>
      <c r="F192" s="504"/>
      <c r="G192" s="14"/>
      <c r="H192" s="14"/>
    </row>
    <row r="193" spans="1:8" ht="25.5">
      <c r="A193" s="504" t="s">
        <v>1730</v>
      </c>
      <c r="B193" s="506" t="s">
        <v>1731</v>
      </c>
      <c r="C193" s="504" t="s">
        <v>60</v>
      </c>
      <c r="D193" s="504">
        <v>39</v>
      </c>
      <c r="E193" s="504" t="s">
        <v>61</v>
      </c>
      <c r="F193" s="504" t="s">
        <v>1918</v>
      </c>
      <c r="G193" s="14"/>
      <c r="H193" s="14"/>
    </row>
    <row r="194" spans="1:8">
      <c r="A194" s="505">
        <v>14028</v>
      </c>
      <c r="B194" s="504" t="s">
        <v>1919</v>
      </c>
      <c r="C194" s="504" t="s">
        <v>1466</v>
      </c>
      <c r="D194" s="504"/>
      <c r="E194" s="505">
        <v>215</v>
      </c>
      <c r="F194" s="505" t="s">
        <v>1920</v>
      </c>
      <c r="G194" s="14"/>
      <c r="H194" s="14"/>
    </row>
    <row r="195" spans="1:8">
      <c r="A195" s="505">
        <v>14068</v>
      </c>
      <c r="B195" s="504" t="s">
        <v>1921</v>
      </c>
      <c r="C195" s="504" t="s">
        <v>1466</v>
      </c>
      <c r="D195" s="504"/>
      <c r="E195" s="505">
        <v>213</v>
      </c>
      <c r="F195" s="505" t="s">
        <v>1922</v>
      </c>
      <c r="G195" s="14"/>
      <c r="H195" s="14"/>
    </row>
    <row r="196" spans="1:8">
      <c r="A196" s="504"/>
      <c r="B196" s="504"/>
      <c r="C196" s="504"/>
      <c r="D196" s="504"/>
      <c r="E196" s="504"/>
      <c r="F196" s="504"/>
      <c r="G196" s="14"/>
      <c r="H196" s="14"/>
    </row>
    <row r="197" spans="1:8">
      <c r="A197" s="504"/>
      <c r="B197" s="504"/>
      <c r="C197" s="504"/>
      <c r="D197" s="504"/>
      <c r="E197" s="504"/>
      <c r="F197" s="504"/>
      <c r="G197" s="14"/>
      <c r="H197" s="14"/>
    </row>
    <row r="198" spans="1:8" ht="25.5">
      <c r="A198" s="504" t="s">
        <v>1730</v>
      </c>
      <c r="B198" s="506" t="s">
        <v>1731</v>
      </c>
      <c r="C198" s="504" t="s">
        <v>60</v>
      </c>
      <c r="D198" s="504">
        <v>40</v>
      </c>
      <c r="E198" s="504" t="s">
        <v>61</v>
      </c>
      <c r="F198" s="504" t="s">
        <v>1923</v>
      </c>
      <c r="G198" s="14"/>
      <c r="H198" s="14"/>
    </row>
    <row r="199" spans="1:8">
      <c r="A199" s="505">
        <v>25002</v>
      </c>
      <c r="B199" s="504" t="s">
        <v>1924</v>
      </c>
      <c r="C199" s="504" t="s">
        <v>472</v>
      </c>
      <c r="D199" s="504"/>
      <c r="E199" s="505">
        <v>747</v>
      </c>
      <c r="F199" s="505" t="s">
        <v>1925</v>
      </c>
      <c r="G199" s="14"/>
      <c r="H199" s="14"/>
    </row>
    <row r="200" spans="1:8">
      <c r="A200" s="505">
        <v>11006</v>
      </c>
      <c r="B200" s="504" t="s">
        <v>1926</v>
      </c>
      <c r="C200" s="504" t="s">
        <v>472</v>
      </c>
      <c r="D200" s="504"/>
      <c r="E200" s="505">
        <v>61</v>
      </c>
      <c r="F200" s="505" t="s">
        <v>1927</v>
      </c>
      <c r="G200" s="14"/>
      <c r="H200" s="14"/>
    </row>
    <row r="201" spans="1:8">
      <c r="A201" s="504"/>
      <c r="B201" s="504"/>
      <c r="C201" s="504"/>
      <c r="D201" s="504"/>
      <c r="E201" s="504"/>
      <c r="F201" s="504"/>
      <c r="G201" s="14"/>
      <c r="H201" s="14"/>
    </row>
    <row r="202" spans="1:8">
      <c r="A202" s="504"/>
      <c r="B202" s="504"/>
      <c r="C202" s="504"/>
      <c r="D202" s="504"/>
      <c r="E202" s="504"/>
      <c r="F202" s="504"/>
      <c r="G202" s="14"/>
      <c r="H202" s="14"/>
    </row>
    <row r="203" spans="1:8" ht="25.5">
      <c r="A203" s="504" t="s">
        <v>1730</v>
      </c>
      <c r="B203" s="506" t="s">
        <v>1731</v>
      </c>
      <c r="C203" s="504" t="s">
        <v>60</v>
      </c>
      <c r="D203" s="504">
        <v>41</v>
      </c>
      <c r="E203" s="504" t="s">
        <v>61</v>
      </c>
      <c r="F203" s="504" t="s">
        <v>1928</v>
      </c>
      <c r="G203" s="14"/>
      <c r="H203" s="14"/>
    </row>
    <row r="204" spans="1:8">
      <c r="A204" s="505">
        <v>12032</v>
      </c>
      <c r="B204" s="504" t="s">
        <v>1929</v>
      </c>
      <c r="C204" s="504" t="s">
        <v>1202</v>
      </c>
      <c r="D204" s="504"/>
      <c r="E204" s="505">
        <v>299</v>
      </c>
      <c r="F204" s="505" t="s">
        <v>1930</v>
      </c>
      <c r="G204" s="14"/>
      <c r="H204" s="14"/>
    </row>
    <row r="205" spans="1:8">
      <c r="A205" s="505">
        <v>15043</v>
      </c>
      <c r="B205" s="504" t="s">
        <v>1931</v>
      </c>
      <c r="C205" s="504" t="s">
        <v>242</v>
      </c>
      <c r="D205" s="504"/>
      <c r="E205" s="505">
        <v>164</v>
      </c>
      <c r="F205" s="505" t="s">
        <v>1932</v>
      </c>
      <c r="G205" s="14"/>
      <c r="H205" s="14"/>
    </row>
    <row r="206" spans="1:8">
      <c r="A206" s="504"/>
      <c r="B206" s="504"/>
      <c r="C206" s="504"/>
      <c r="D206" s="504"/>
      <c r="E206" s="504"/>
      <c r="F206" s="504"/>
      <c r="G206" s="14"/>
      <c r="H206" s="14"/>
    </row>
    <row r="207" spans="1:8">
      <c r="A207" s="504"/>
      <c r="B207" s="504"/>
      <c r="C207" s="504"/>
      <c r="D207" s="504"/>
      <c r="E207" s="504"/>
      <c r="F207" s="504"/>
      <c r="G207" s="14"/>
      <c r="H207" s="14"/>
    </row>
    <row r="208" spans="1:8" ht="25.5">
      <c r="A208" s="504" t="s">
        <v>1730</v>
      </c>
      <c r="B208" s="506" t="s">
        <v>1731</v>
      </c>
      <c r="C208" s="504" t="s">
        <v>60</v>
      </c>
      <c r="D208" s="504">
        <v>42</v>
      </c>
      <c r="E208" s="504" t="s">
        <v>61</v>
      </c>
      <c r="F208" s="504" t="s">
        <v>1933</v>
      </c>
      <c r="G208" s="14"/>
      <c r="H208" s="14"/>
    </row>
    <row r="209" spans="1:8">
      <c r="A209" s="505">
        <v>16082</v>
      </c>
      <c r="B209" s="504" t="s">
        <v>1934</v>
      </c>
      <c r="C209" s="504" t="s">
        <v>1878</v>
      </c>
      <c r="D209" s="504"/>
      <c r="E209" s="505">
        <v>292</v>
      </c>
      <c r="F209" s="505" t="s">
        <v>1935</v>
      </c>
      <c r="G209" s="14"/>
      <c r="H209" s="14"/>
    </row>
    <row r="210" spans="1:8">
      <c r="A210" s="505">
        <v>16072</v>
      </c>
      <c r="B210" s="504" t="s">
        <v>1936</v>
      </c>
      <c r="C210" s="504" t="s">
        <v>1878</v>
      </c>
      <c r="D210" s="504"/>
      <c r="E210" s="505">
        <v>297</v>
      </c>
      <c r="F210" s="505" t="s">
        <v>1937</v>
      </c>
      <c r="G210" s="14"/>
      <c r="H210" s="14"/>
    </row>
    <row r="211" spans="1:8">
      <c r="A211" s="504"/>
      <c r="B211" s="504"/>
      <c r="C211" s="504"/>
      <c r="D211" s="504"/>
      <c r="E211" s="504"/>
      <c r="F211" s="504"/>
      <c r="G211" s="14"/>
      <c r="H211" s="14"/>
    </row>
    <row r="212" spans="1:8">
      <c r="A212" s="504"/>
      <c r="B212" s="504"/>
      <c r="C212" s="504"/>
      <c r="D212" s="504"/>
      <c r="E212" s="504"/>
      <c r="F212" s="504"/>
      <c r="G212" s="14"/>
      <c r="H212" s="14"/>
    </row>
    <row r="213" spans="1:8">
      <c r="A213" s="504" t="s">
        <v>1730</v>
      </c>
      <c r="B213" s="506" t="s">
        <v>1731</v>
      </c>
      <c r="C213" s="504" t="s">
        <v>60</v>
      </c>
      <c r="D213" s="504">
        <v>43</v>
      </c>
      <c r="E213" s="504" t="s">
        <v>61</v>
      </c>
      <c r="F213" s="504" t="s">
        <v>1938</v>
      </c>
      <c r="G213" s="14"/>
      <c r="H213" s="14"/>
    </row>
    <row r="214" spans="1:8">
      <c r="A214" s="505">
        <v>16089</v>
      </c>
      <c r="B214" s="504" t="s">
        <v>1939</v>
      </c>
      <c r="C214" s="504" t="s">
        <v>1878</v>
      </c>
      <c r="D214" s="504"/>
      <c r="E214" s="505">
        <v>316</v>
      </c>
      <c r="F214" s="505" t="s">
        <v>1940</v>
      </c>
      <c r="G214" s="14"/>
      <c r="H214" s="14"/>
    </row>
    <row r="215" spans="1:8">
      <c r="A215" s="505">
        <v>16090</v>
      </c>
      <c r="B215" s="504" t="s">
        <v>1941</v>
      </c>
      <c r="C215" s="504" t="s">
        <v>1878</v>
      </c>
      <c r="D215" s="504"/>
      <c r="E215" s="505">
        <v>314</v>
      </c>
      <c r="F215" s="505" t="s">
        <v>1942</v>
      </c>
      <c r="G215" s="14"/>
      <c r="H215" s="14"/>
    </row>
    <row r="216" spans="1:8">
      <c r="A216" s="504"/>
      <c r="B216" s="504"/>
      <c r="C216" s="504"/>
      <c r="D216" s="504"/>
      <c r="E216" s="504"/>
      <c r="F216" s="504"/>
      <c r="G216" s="14"/>
      <c r="H216" s="14"/>
    </row>
    <row r="217" spans="1:8">
      <c r="A217" s="504"/>
      <c r="B217" s="504"/>
      <c r="C217" s="504"/>
      <c r="D217" s="504"/>
      <c r="E217" s="504"/>
      <c r="F217" s="504"/>
      <c r="G217" s="14"/>
      <c r="H217" s="14"/>
    </row>
    <row r="218" spans="1:8" ht="25.5">
      <c r="A218" s="504" t="s">
        <v>1730</v>
      </c>
      <c r="B218" s="506" t="s">
        <v>1731</v>
      </c>
      <c r="C218" s="504" t="s">
        <v>60</v>
      </c>
      <c r="D218" s="504">
        <v>44</v>
      </c>
      <c r="E218" s="504" t="s">
        <v>61</v>
      </c>
      <c r="F218" s="504" t="s">
        <v>1943</v>
      </c>
      <c r="G218" s="14"/>
      <c r="H218" s="14"/>
    </row>
    <row r="219" spans="1:8">
      <c r="A219" s="505">
        <v>16058</v>
      </c>
      <c r="B219" s="504" t="s">
        <v>1944</v>
      </c>
      <c r="C219" s="504" t="s">
        <v>1487</v>
      </c>
      <c r="D219" s="504"/>
      <c r="E219" s="505">
        <v>206</v>
      </c>
      <c r="F219" s="505" t="s">
        <v>1945</v>
      </c>
      <c r="G219" s="14"/>
      <c r="H219" s="14"/>
    </row>
    <row r="220" spans="1:8">
      <c r="A220" s="505">
        <v>16065</v>
      </c>
      <c r="B220" s="504" t="s">
        <v>1946</v>
      </c>
      <c r="C220" s="504" t="s">
        <v>1487</v>
      </c>
      <c r="D220" s="504"/>
      <c r="E220" s="505">
        <v>418</v>
      </c>
      <c r="F220" s="505" t="s">
        <v>1947</v>
      </c>
      <c r="G220" s="14"/>
      <c r="H220" s="14"/>
    </row>
    <row r="221" spans="1:8">
      <c r="A221" s="504"/>
      <c r="B221" s="504"/>
      <c r="C221" s="504"/>
      <c r="D221" s="504"/>
      <c r="E221" s="504"/>
      <c r="F221" s="504"/>
      <c r="G221" s="14"/>
      <c r="H221" s="14"/>
    </row>
    <row r="222" spans="1:8">
      <c r="A222" s="504"/>
      <c r="B222" s="504"/>
      <c r="C222" s="504"/>
      <c r="D222" s="504"/>
      <c r="E222" s="504"/>
      <c r="F222" s="504"/>
      <c r="G222" s="14"/>
      <c r="H222" s="14"/>
    </row>
    <row r="223" spans="1:8" ht="25.5">
      <c r="A223" s="504" t="s">
        <v>1730</v>
      </c>
      <c r="B223" s="506" t="s">
        <v>1731</v>
      </c>
      <c r="C223" s="504" t="s">
        <v>60</v>
      </c>
      <c r="D223" s="504">
        <v>45</v>
      </c>
      <c r="E223" s="504" t="s">
        <v>61</v>
      </c>
      <c r="F223" s="504" t="s">
        <v>1948</v>
      </c>
      <c r="G223" s="14"/>
      <c r="H223" s="14"/>
    </row>
    <row r="224" spans="1:8">
      <c r="A224" s="505">
        <v>16060</v>
      </c>
      <c r="B224" s="504" t="s">
        <v>1949</v>
      </c>
      <c r="C224" s="504" t="s">
        <v>1487</v>
      </c>
      <c r="D224" s="504"/>
      <c r="E224" s="505">
        <v>188</v>
      </c>
      <c r="F224" s="505" t="s">
        <v>1950</v>
      </c>
      <c r="G224" s="14"/>
      <c r="H224" s="14"/>
    </row>
    <row r="225" spans="1:8">
      <c r="A225" s="505">
        <v>16064</v>
      </c>
      <c r="B225" s="504" t="s">
        <v>1951</v>
      </c>
      <c r="C225" s="504" t="s">
        <v>1487</v>
      </c>
      <c r="D225" s="504"/>
      <c r="E225" s="505">
        <v>403</v>
      </c>
      <c r="F225" s="505" t="s">
        <v>1952</v>
      </c>
      <c r="G225" s="14"/>
      <c r="H225" s="14"/>
    </row>
    <row r="226" spans="1:8">
      <c r="A226" s="504"/>
      <c r="B226" s="504"/>
      <c r="C226" s="504"/>
      <c r="D226" s="504"/>
      <c r="E226" s="504"/>
      <c r="F226" s="504"/>
      <c r="G226" s="14"/>
      <c r="H226" s="14"/>
    </row>
    <row r="227" spans="1:8">
      <c r="A227" s="504"/>
      <c r="B227" s="504"/>
      <c r="C227" s="504"/>
      <c r="D227" s="504"/>
      <c r="E227" s="504"/>
      <c r="F227" s="504"/>
      <c r="G227" s="14"/>
      <c r="H227" s="14"/>
    </row>
    <row r="228" spans="1:8" ht="25.5">
      <c r="A228" s="504" t="s">
        <v>1730</v>
      </c>
      <c r="B228" s="506" t="s">
        <v>1731</v>
      </c>
      <c r="C228" s="504" t="s">
        <v>60</v>
      </c>
      <c r="D228" s="504">
        <v>46</v>
      </c>
      <c r="E228" s="504" t="s">
        <v>61</v>
      </c>
      <c r="F228" s="504" t="s">
        <v>1953</v>
      </c>
      <c r="G228" s="14"/>
      <c r="H228" s="14"/>
    </row>
    <row r="229" spans="1:8">
      <c r="A229" s="505">
        <v>16148</v>
      </c>
      <c r="B229" s="504" t="s">
        <v>1954</v>
      </c>
      <c r="C229" s="504" t="s">
        <v>495</v>
      </c>
      <c r="D229" s="504"/>
      <c r="E229" s="505">
        <v>455</v>
      </c>
      <c r="F229" s="505" t="s">
        <v>1955</v>
      </c>
      <c r="G229" s="14"/>
      <c r="H229" s="14"/>
    </row>
    <row r="230" spans="1:8">
      <c r="A230" s="505">
        <v>16011</v>
      </c>
      <c r="B230" s="504" t="s">
        <v>1956</v>
      </c>
      <c r="C230" s="504" t="s">
        <v>495</v>
      </c>
      <c r="D230" s="504"/>
      <c r="E230" s="505">
        <v>217</v>
      </c>
      <c r="F230" s="505" t="s">
        <v>1957</v>
      </c>
      <c r="G230" s="14"/>
      <c r="H230" s="14"/>
    </row>
    <row r="231" spans="1:8">
      <c r="A231" s="504"/>
      <c r="B231" s="504"/>
      <c r="C231" s="504"/>
      <c r="D231" s="504"/>
      <c r="E231" s="504"/>
      <c r="F231" s="504"/>
      <c r="G231" s="14"/>
      <c r="H231" s="14"/>
    </row>
    <row r="232" spans="1:8">
      <c r="A232" s="504"/>
      <c r="B232" s="504"/>
      <c r="C232" s="504"/>
      <c r="D232" s="504"/>
      <c r="E232" s="504"/>
      <c r="F232" s="504"/>
      <c r="G232" s="14"/>
      <c r="H232" s="14"/>
    </row>
    <row r="233" spans="1:8" ht="25.5">
      <c r="A233" s="504" t="s">
        <v>1730</v>
      </c>
      <c r="B233" s="506" t="s">
        <v>1731</v>
      </c>
      <c r="C233" s="504" t="s">
        <v>60</v>
      </c>
      <c r="D233" s="504">
        <v>48</v>
      </c>
      <c r="E233" s="504" t="s">
        <v>61</v>
      </c>
      <c r="F233" s="504" t="s">
        <v>1958</v>
      </c>
      <c r="G233" s="14"/>
      <c r="H233" s="14"/>
    </row>
    <row r="234" spans="1:8">
      <c r="A234" s="505">
        <v>29052</v>
      </c>
      <c r="B234" s="504" t="s">
        <v>1959</v>
      </c>
      <c r="C234" s="504" t="s">
        <v>495</v>
      </c>
      <c r="D234" s="504"/>
      <c r="E234" s="505">
        <v>324</v>
      </c>
      <c r="F234" s="505" t="s">
        <v>1960</v>
      </c>
      <c r="G234" s="14"/>
      <c r="H234" s="14"/>
    </row>
    <row r="235" spans="1:8">
      <c r="A235" s="505">
        <v>29060</v>
      </c>
      <c r="B235" s="504" t="s">
        <v>1961</v>
      </c>
      <c r="C235" s="504" t="s">
        <v>495</v>
      </c>
      <c r="D235" s="504"/>
      <c r="E235" s="505">
        <v>349</v>
      </c>
      <c r="F235" s="505" t="s">
        <v>1962</v>
      </c>
      <c r="G235" s="14"/>
      <c r="H235" s="14"/>
    </row>
    <row r="236" spans="1:8">
      <c r="A236" s="504"/>
      <c r="B236" s="504"/>
      <c r="C236" s="504"/>
      <c r="D236" s="504"/>
      <c r="E236" s="504"/>
      <c r="F236" s="504"/>
      <c r="G236" s="14"/>
      <c r="H236" s="14"/>
    </row>
    <row r="237" spans="1:8">
      <c r="A237" s="504"/>
      <c r="B237" s="504"/>
      <c r="C237" s="504"/>
      <c r="D237" s="504"/>
      <c r="E237" s="504"/>
      <c r="F237" s="504"/>
      <c r="G237" s="14"/>
      <c r="H237" s="14"/>
    </row>
    <row r="238" spans="1:8" ht="25.5">
      <c r="A238" s="504" t="s">
        <v>1730</v>
      </c>
      <c r="B238" s="506" t="s">
        <v>1731</v>
      </c>
      <c r="C238" s="504" t="s">
        <v>60</v>
      </c>
      <c r="D238" s="504">
        <v>49</v>
      </c>
      <c r="E238" s="504" t="s">
        <v>61</v>
      </c>
      <c r="F238" s="504" t="s">
        <v>1963</v>
      </c>
      <c r="G238" s="14"/>
      <c r="H238" s="14"/>
    </row>
    <row r="239" spans="1:8">
      <c r="A239" s="505">
        <v>21805</v>
      </c>
      <c r="B239" s="504" t="s">
        <v>1964</v>
      </c>
      <c r="C239" s="504" t="s">
        <v>168</v>
      </c>
      <c r="D239" s="504"/>
      <c r="E239" s="505">
        <v>199</v>
      </c>
      <c r="F239" s="505" t="s">
        <v>1965</v>
      </c>
      <c r="G239" s="14"/>
      <c r="H239" s="14"/>
    </row>
    <row r="240" spans="1:8">
      <c r="A240" s="505">
        <v>16121</v>
      </c>
      <c r="B240" s="504" t="s">
        <v>1966</v>
      </c>
      <c r="C240" s="504" t="s">
        <v>168</v>
      </c>
      <c r="D240" s="504"/>
      <c r="E240" s="505">
        <v>473</v>
      </c>
      <c r="F240" s="505" t="s">
        <v>1967</v>
      </c>
      <c r="G240" s="14"/>
      <c r="H240" s="14"/>
    </row>
    <row r="241" spans="1:8">
      <c r="A241" s="504"/>
      <c r="B241" s="504"/>
      <c r="C241" s="504"/>
      <c r="D241" s="504"/>
      <c r="E241" s="504"/>
      <c r="F241" s="504"/>
      <c r="G241" s="14"/>
      <c r="H241" s="14"/>
    </row>
    <row r="242" spans="1:8">
      <c r="A242" s="504"/>
      <c r="B242" s="504"/>
      <c r="C242" s="504"/>
      <c r="D242" s="504"/>
      <c r="E242" s="504"/>
      <c r="F242" s="504"/>
      <c r="G242" s="14"/>
      <c r="H242" s="14"/>
    </row>
    <row r="243" spans="1:8" ht="25.5">
      <c r="A243" s="504" t="s">
        <v>1730</v>
      </c>
      <c r="B243" s="506" t="s">
        <v>1731</v>
      </c>
      <c r="C243" s="504" t="s">
        <v>60</v>
      </c>
      <c r="D243" s="504">
        <v>50</v>
      </c>
      <c r="E243" s="504" t="s">
        <v>61</v>
      </c>
      <c r="F243" s="504" t="s">
        <v>1968</v>
      </c>
      <c r="G243" s="14"/>
      <c r="H243" s="14"/>
    </row>
    <row r="244" spans="1:8">
      <c r="A244" s="505">
        <v>24315</v>
      </c>
      <c r="B244" s="504" t="s">
        <v>1969</v>
      </c>
      <c r="C244" s="504" t="s">
        <v>1894</v>
      </c>
      <c r="D244" s="504"/>
      <c r="E244" s="505">
        <v>288</v>
      </c>
      <c r="F244" s="505" t="s">
        <v>1970</v>
      </c>
      <c r="G244" s="14"/>
      <c r="H244" s="14"/>
    </row>
    <row r="245" spans="1:8">
      <c r="A245" s="505">
        <v>14057</v>
      </c>
      <c r="B245" s="504" t="s">
        <v>1971</v>
      </c>
      <c r="C245" s="504" t="s">
        <v>1894</v>
      </c>
      <c r="D245" s="504"/>
      <c r="E245" s="505">
        <v>298</v>
      </c>
      <c r="F245" s="505" t="s">
        <v>1972</v>
      </c>
      <c r="G245" s="14"/>
      <c r="H245" s="14"/>
    </row>
    <row r="246" spans="1:8">
      <c r="A246" s="504"/>
      <c r="B246" s="504"/>
      <c r="C246" s="504"/>
      <c r="D246" s="504"/>
      <c r="E246" s="504"/>
      <c r="F246" s="504"/>
      <c r="G246" s="14"/>
      <c r="H246" s="14"/>
    </row>
    <row r="247" spans="1:8">
      <c r="A247" s="504"/>
      <c r="B247" s="504"/>
      <c r="C247" s="504"/>
      <c r="D247" s="504"/>
      <c r="E247" s="504"/>
      <c r="F247" s="504"/>
      <c r="G247" s="14"/>
      <c r="H247" s="14"/>
    </row>
    <row r="248" spans="1:8" ht="25.5">
      <c r="A248" s="504" t="s">
        <v>1730</v>
      </c>
      <c r="B248" s="506" t="s">
        <v>1731</v>
      </c>
      <c r="C248" s="504" t="s">
        <v>60</v>
      </c>
      <c r="D248" s="504">
        <v>51</v>
      </c>
      <c r="E248" s="504" t="s">
        <v>61</v>
      </c>
      <c r="F248" s="504" t="s">
        <v>1973</v>
      </c>
      <c r="G248" s="14"/>
      <c r="H248" s="14"/>
    </row>
    <row r="249" spans="1:8">
      <c r="A249" s="505">
        <v>96162</v>
      </c>
      <c r="B249" s="504" t="s">
        <v>1974</v>
      </c>
      <c r="C249" s="504" t="s">
        <v>173</v>
      </c>
      <c r="D249" s="504"/>
      <c r="E249" s="505">
        <v>397</v>
      </c>
      <c r="F249" s="505" t="s">
        <v>1975</v>
      </c>
      <c r="G249" s="14"/>
      <c r="H249" s="14"/>
    </row>
    <row r="250" spans="1:8">
      <c r="A250" s="505">
        <v>96163</v>
      </c>
      <c r="B250" s="504" t="s">
        <v>1976</v>
      </c>
      <c r="C250" s="504" t="s">
        <v>173</v>
      </c>
      <c r="D250" s="504"/>
      <c r="E250" s="505">
        <v>422</v>
      </c>
      <c r="F250" s="505" t="s">
        <v>1977</v>
      </c>
      <c r="G250" s="14"/>
      <c r="H250" s="14"/>
    </row>
    <row r="251" spans="1:8">
      <c r="A251" s="504"/>
      <c r="B251" s="504"/>
      <c r="C251" s="504"/>
      <c r="D251" s="504"/>
      <c r="E251" s="504"/>
      <c r="F251" s="504"/>
      <c r="G251" s="14"/>
      <c r="H251" s="14"/>
    </row>
    <row r="252" spans="1:8">
      <c r="A252" s="504"/>
      <c r="B252" s="504"/>
      <c r="C252" s="504"/>
      <c r="D252" s="504"/>
      <c r="E252" s="504"/>
      <c r="F252" s="504"/>
      <c r="G252" s="14"/>
      <c r="H252" s="14"/>
    </row>
    <row r="253" spans="1:8" ht="25.5">
      <c r="A253" s="504" t="s">
        <v>1730</v>
      </c>
      <c r="B253" s="506" t="s">
        <v>1731</v>
      </c>
      <c r="C253" s="504" t="s">
        <v>60</v>
      </c>
      <c r="D253" s="504">
        <v>52</v>
      </c>
      <c r="E253" s="504" t="s">
        <v>61</v>
      </c>
      <c r="F253" s="504" t="s">
        <v>1978</v>
      </c>
      <c r="G253" s="14"/>
      <c r="H253" s="14"/>
    </row>
    <row r="254" spans="1:8">
      <c r="A254" s="505">
        <v>96216</v>
      </c>
      <c r="B254" s="504" t="s">
        <v>1979</v>
      </c>
      <c r="C254" s="504" t="s">
        <v>173</v>
      </c>
      <c r="D254" s="504"/>
      <c r="E254" s="505">
        <v>208</v>
      </c>
      <c r="F254" s="505" t="s">
        <v>1980</v>
      </c>
      <c r="G254" s="14"/>
      <c r="H254" s="14"/>
    </row>
    <row r="255" spans="1:8">
      <c r="A255" s="505">
        <v>16085</v>
      </c>
      <c r="B255" s="504" t="s">
        <v>1981</v>
      </c>
      <c r="C255" s="504"/>
      <c r="D255" s="504" t="s">
        <v>1891</v>
      </c>
      <c r="E255" s="505"/>
      <c r="F255" s="505">
        <v>0</v>
      </c>
      <c r="G255" s="14"/>
      <c r="H255" s="14"/>
    </row>
    <row r="256" spans="1:8">
      <c r="A256" s="504"/>
      <c r="B256" s="504"/>
      <c r="C256" s="504"/>
      <c r="D256" s="504"/>
      <c r="E256" s="504"/>
      <c r="F256" s="504"/>
      <c r="G256" s="14"/>
      <c r="H256" s="14"/>
    </row>
    <row r="257" spans="1:8">
      <c r="A257" s="504"/>
      <c r="B257" s="504"/>
      <c r="C257" s="504"/>
      <c r="D257" s="504"/>
      <c r="E257" s="504"/>
      <c r="F257" s="504"/>
      <c r="G257" s="14"/>
      <c r="H257" s="14"/>
    </row>
    <row r="258" spans="1:8" ht="25.5">
      <c r="A258" s="504" t="s">
        <v>1730</v>
      </c>
      <c r="B258" s="506" t="s">
        <v>1731</v>
      </c>
      <c r="C258" s="504" t="s">
        <v>60</v>
      </c>
      <c r="D258" s="504">
        <v>53</v>
      </c>
      <c r="E258" s="504" t="s">
        <v>61</v>
      </c>
      <c r="F258" s="504" t="s">
        <v>1982</v>
      </c>
      <c r="G258" s="14"/>
      <c r="H258" s="14"/>
    </row>
    <row r="259" spans="1:8">
      <c r="A259" s="505">
        <v>15032</v>
      </c>
      <c r="B259" s="504" t="s">
        <v>1983</v>
      </c>
      <c r="C259" s="504" t="s">
        <v>576</v>
      </c>
      <c r="D259" s="504"/>
      <c r="E259" s="505">
        <v>360</v>
      </c>
      <c r="F259" s="505" t="s">
        <v>1984</v>
      </c>
      <c r="G259" s="14"/>
      <c r="H259" s="14"/>
    </row>
    <row r="260" spans="1:8">
      <c r="A260" s="505">
        <v>15031</v>
      </c>
      <c r="B260" s="504" t="s">
        <v>1985</v>
      </c>
      <c r="C260" s="504" t="s">
        <v>576</v>
      </c>
      <c r="D260" s="504"/>
      <c r="E260" s="505">
        <v>310</v>
      </c>
      <c r="F260" s="505" t="s">
        <v>1986</v>
      </c>
      <c r="G260" s="14"/>
      <c r="H260" s="14"/>
    </row>
    <row r="261" spans="1:8">
      <c r="A261" s="504"/>
      <c r="B261" s="504"/>
      <c r="C261" s="504"/>
      <c r="D261" s="504"/>
      <c r="E261" s="504"/>
      <c r="F261" s="504"/>
      <c r="G261" s="14"/>
      <c r="H261" s="14"/>
    </row>
    <row r="262" spans="1:8">
      <c r="A262" s="504"/>
      <c r="B262" s="504"/>
      <c r="C262" s="504"/>
      <c r="D262" s="504"/>
      <c r="E262" s="504"/>
      <c r="F262" s="504"/>
      <c r="G262" s="14"/>
      <c r="H262" s="14"/>
    </row>
    <row r="263" spans="1:8" ht="25.5">
      <c r="A263" s="504" t="s">
        <v>1730</v>
      </c>
      <c r="B263" s="506" t="s">
        <v>1731</v>
      </c>
      <c r="C263" s="504" t="s">
        <v>60</v>
      </c>
      <c r="D263" s="504">
        <v>54</v>
      </c>
      <c r="E263" s="504" t="s">
        <v>61</v>
      </c>
      <c r="F263" s="504" t="s">
        <v>1987</v>
      </c>
      <c r="G263" s="14"/>
      <c r="H263" s="14"/>
    </row>
    <row r="264" spans="1:8">
      <c r="A264" s="505">
        <v>13083</v>
      </c>
      <c r="B264" s="504" t="s">
        <v>1988</v>
      </c>
      <c r="C264" s="504" t="s">
        <v>495</v>
      </c>
      <c r="D264" s="504"/>
      <c r="E264" s="505">
        <v>266</v>
      </c>
      <c r="F264" s="505" t="s">
        <v>1989</v>
      </c>
      <c r="G264" s="14"/>
      <c r="H264" s="14"/>
    </row>
    <row r="265" spans="1:8">
      <c r="A265" s="505">
        <v>29053</v>
      </c>
      <c r="B265" s="504" t="s">
        <v>1990</v>
      </c>
      <c r="C265" s="504" t="s">
        <v>495</v>
      </c>
      <c r="D265" s="504"/>
      <c r="E265" s="505">
        <v>514</v>
      </c>
      <c r="F265" s="505" t="s">
        <v>1991</v>
      </c>
      <c r="G265" s="14"/>
      <c r="H265" s="14"/>
    </row>
    <row r="266" spans="1:8">
      <c r="A266" s="504"/>
      <c r="B266" s="504"/>
      <c r="C266" s="504"/>
      <c r="D266" s="504"/>
      <c r="E266" s="504"/>
      <c r="F266" s="504"/>
      <c r="G266" s="14"/>
      <c r="H266" s="14"/>
    </row>
    <row r="267" spans="1:8">
      <c r="A267" s="504"/>
      <c r="B267" s="504"/>
      <c r="C267" s="504"/>
      <c r="D267" s="504"/>
      <c r="E267" s="504"/>
      <c r="F267" s="504"/>
      <c r="G267" s="14"/>
      <c r="H267" s="14"/>
    </row>
    <row r="268" spans="1:8" ht="25.5">
      <c r="A268" s="504" t="s">
        <v>1730</v>
      </c>
      <c r="B268" s="506" t="s">
        <v>1731</v>
      </c>
      <c r="C268" s="504" t="s">
        <v>60</v>
      </c>
      <c r="D268" s="504">
        <v>55</v>
      </c>
      <c r="E268" s="504" t="s">
        <v>61</v>
      </c>
      <c r="F268" s="504" t="s">
        <v>1992</v>
      </c>
      <c r="G268" s="14"/>
      <c r="H268" s="14"/>
    </row>
    <row r="269" spans="1:8">
      <c r="A269" s="505">
        <v>97294</v>
      </c>
      <c r="B269" s="504" t="s">
        <v>1993</v>
      </c>
      <c r="C269" s="504" t="s">
        <v>156</v>
      </c>
      <c r="D269" s="504"/>
      <c r="E269" s="505">
        <v>407</v>
      </c>
      <c r="F269" s="505" t="s">
        <v>1994</v>
      </c>
      <c r="G269" s="14"/>
      <c r="H269" s="14"/>
    </row>
    <row r="270" spans="1:8">
      <c r="A270" s="505">
        <v>97291</v>
      </c>
      <c r="B270" s="504" t="s">
        <v>1995</v>
      </c>
      <c r="C270" s="504" t="s">
        <v>156</v>
      </c>
      <c r="D270" s="504"/>
      <c r="E270" s="505">
        <v>302</v>
      </c>
      <c r="F270" s="505" t="s">
        <v>1996</v>
      </c>
      <c r="G270" s="14"/>
      <c r="H270" s="14"/>
    </row>
    <row r="271" spans="1:8">
      <c r="A271" s="504"/>
      <c r="B271" s="504"/>
      <c r="C271" s="504"/>
      <c r="D271" s="504"/>
      <c r="E271" s="504"/>
      <c r="F271" s="504"/>
      <c r="G271" s="14"/>
      <c r="H271" s="14"/>
    </row>
    <row r="272" spans="1:8">
      <c r="A272" s="504"/>
      <c r="B272" s="504"/>
      <c r="C272" s="504"/>
      <c r="D272" s="504"/>
      <c r="E272" s="504"/>
      <c r="F272" s="504"/>
      <c r="G272" s="14"/>
      <c r="H272" s="14"/>
    </row>
    <row r="273" spans="1:8" ht="25.5">
      <c r="A273" s="504" t="s">
        <v>1730</v>
      </c>
      <c r="B273" s="506" t="s">
        <v>1731</v>
      </c>
      <c r="C273" s="504" t="s">
        <v>60</v>
      </c>
      <c r="D273" s="504">
        <v>56</v>
      </c>
      <c r="E273" s="504" t="s">
        <v>61</v>
      </c>
      <c r="F273" s="504" t="s">
        <v>1997</v>
      </c>
      <c r="G273" s="14"/>
      <c r="H273" s="14"/>
    </row>
    <row r="274" spans="1:8">
      <c r="A274" s="505">
        <v>15087</v>
      </c>
      <c r="B274" s="504" t="s">
        <v>1998</v>
      </c>
      <c r="C274" s="504" t="s">
        <v>168</v>
      </c>
      <c r="D274" s="504"/>
      <c r="E274" s="505">
        <v>211</v>
      </c>
      <c r="F274" s="505" t="s">
        <v>1999</v>
      </c>
      <c r="G274" s="14"/>
      <c r="H274" s="14"/>
    </row>
    <row r="275" spans="1:8">
      <c r="A275" s="505"/>
      <c r="B275" s="504" t="s">
        <v>2000</v>
      </c>
      <c r="C275" s="504"/>
      <c r="D275" s="504" t="s">
        <v>1891</v>
      </c>
      <c r="E275" s="505"/>
      <c r="F275" s="505">
        <v>0</v>
      </c>
      <c r="G275" s="14"/>
      <c r="H275" s="14"/>
    </row>
    <row r="276" spans="1:8">
      <c r="A276" s="504"/>
      <c r="B276" s="504"/>
      <c r="C276" s="504"/>
      <c r="D276" s="504"/>
      <c r="E276" s="504"/>
      <c r="F276" s="504"/>
      <c r="G276" s="14"/>
      <c r="H276" s="14"/>
    </row>
    <row r="277" spans="1:8">
      <c r="A277" s="504"/>
      <c r="B277" s="504"/>
      <c r="C277" s="504"/>
      <c r="D277" s="504"/>
      <c r="E277" s="504"/>
      <c r="F277" s="504"/>
      <c r="G277" s="14"/>
      <c r="H277" s="14"/>
    </row>
    <row r="278" spans="1:8" ht="25.5">
      <c r="A278" s="504" t="s">
        <v>1730</v>
      </c>
      <c r="B278" s="506" t="s">
        <v>1731</v>
      </c>
      <c r="C278" s="504" t="s">
        <v>60</v>
      </c>
      <c r="D278" s="504">
        <v>57</v>
      </c>
      <c r="E278" s="504" t="s">
        <v>61</v>
      </c>
      <c r="F278" s="504" t="s">
        <v>2001</v>
      </c>
      <c r="G278" s="14"/>
      <c r="H278" s="14"/>
    </row>
    <row r="279" spans="1:8">
      <c r="A279" s="505">
        <v>16001</v>
      </c>
      <c r="B279" s="504" t="s">
        <v>2002</v>
      </c>
      <c r="C279" s="504" t="s">
        <v>168</v>
      </c>
      <c r="D279" s="504"/>
      <c r="E279" s="505">
        <v>280</v>
      </c>
      <c r="F279" s="505" t="s">
        <v>2003</v>
      </c>
      <c r="G279" s="14"/>
      <c r="H279" s="14"/>
    </row>
    <row r="280" spans="1:8">
      <c r="A280" s="505"/>
      <c r="B280" s="504" t="s">
        <v>2004</v>
      </c>
      <c r="C280" s="504"/>
      <c r="D280" s="504" t="s">
        <v>1891</v>
      </c>
      <c r="E280" s="505"/>
      <c r="F280" s="505">
        <v>0</v>
      </c>
      <c r="G280" s="14"/>
      <c r="H280" s="14"/>
    </row>
    <row r="281" spans="1:8">
      <c r="A281" s="504"/>
      <c r="B281" s="504"/>
      <c r="C281" s="504"/>
      <c r="D281" s="504"/>
      <c r="E281" s="504"/>
      <c r="F281" s="504"/>
      <c r="G281" s="14"/>
      <c r="H281" s="14"/>
    </row>
    <row r="282" spans="1:8">
      <c r="A282" s="504"/>
      <c r="B282" s="504"/>
      <c r="C282" s="504"/>
      <c r="D282" s="504"/>
      <c r="E282" s="504"/>
      <c r="F282" s="504"/>
      <c r="G282" s="14"/>
      <c r="H282" s="14"/>
    </row>
    <row r="283" spans="1:8" ht="25.5">
      <c r="A283" s="504" t="s">
        <v>1730</v>
      </c>
      <c r="B283" s="506" t="s">
        <v>1731</v>
      </c>
      <c r="C283" s="504" t="s">
        <v>60</v>
      </c>
      <c r="D283" s="504">
        <v>58</v>
      </c>
      <c r="E283" s="504" t="s">
        <v>61</v>
      </c>
      <c r="F283" s="504" t="s">
        <v>2005</v>
      </c>
      <c r="G283" s="14"/>
      <c r="H283" s="14"/>
    </row>
    <row r="284" spans="1:8">
      <c r="A284" s="505">
        <v>16095</v>
      </c>
      <c r="B284" s="504" t="s">
        <v>2006</v>
      </c>
      <c r="C284" s="504" t="s">
        <v>1878</v>
      </c>
      <c r="D284" s="504"/>
      <c r="E284" s="505">
        <v>381</v>
      </c>
      <c r="F284" s="505" t="s">
        <v>2007</v>
      </c>
      <c r="G284" s="14"/>
      <c r="H284" s="14"/>
    </row>
    <row r="285" spans="1:8">
      <c r="A285" s="505">
        <v>16079</v>
      </c>
      <c r="B285" s="504" t="s">
        <v>2008</v>
      </c>
      <c r="C285" s="504" t="s">
        <v>1878</v>
      </c>
      <c r="D285" s="504"/>
      <c r="E285" s="505">
        <v>471</v>
      </c>
      <c r="F285" s="505" t="s">
        <v>2009</v>
      </c>
      <c r="G285" s="14"/>
      <c r="H285" s="14"/>
    </row>
    <row r="286" spans="1:8">
      <c r="A286" s="504"/>
      <c r="B286" s="504"/>
      <c r="C286" s="504"/>
      <c r="D286" s="504"/>
      <c r="E286" s="504"/>
      <c r="F286" s="504"/>
      <c r="G286" s="14"/>
      <c r="H286" s="14"/>
    </row>
    <row r="287" spans="1:8">
      <c r="A287" s="504"/>
      <c r="B287" s="504"/>
      <c r="C287" s="504"/>
      <c r="D287" s="504"/>
      <c r="E287" s="504"/>
      <c r="F287" s="504"/>
      <c r="G287" s="14"/>
      <c r="H287" s="14"/>
    </row>
    <row r="288" spans="1:8">
      <c r="A288" s="504" t="s">
        <v>1730</v>
      </c>
      <c r="B288" s="506" t="s">
        <v>1731</v>
      </c>
      <c r="C288" s="504" t="s">
        <v>60</v>
      </c>
      <c r="D288" s="504">
        <v>60</v>
      </c>
      <c r="E288" s="504" t="s">
        <v>61</v>
      </c>
      <c r="F288" s="504" t="s">
        <v>2010</v>
      </c>
      <c r="G288" s="14"/>
      <c r="H288" s="14"/>
    </row>
    <row r="289" spans="1:8">
      <c r="A289" s="505">
        <v>14097</v>
      </c>
      <c r="B289" s="504" t="s">
        <v>2011</v>
      </c>
      <c r="C289" s="504" t="s">
        <v>1388</v>
      </c>
      <c r="D289" s="504"/>
      <c r="E289" s="505">
        <v>400</v>
      </c>
      <c r="F289" s="505" t="s">
        <v>2012</v>
      </c>
      <c r="G289" s="14"/>
      <c r="H289" s="14"/>
    </row>
    <row r="290" spans="1:8">
      <c r="A290" s="505">
        <v>16052</v>
      </c>
      <c r="B290" s="504" t="s">
        <v>2013</v>
      </c>
      <c r="C290" s="504" t="s">
        <v>1388</v>
      </c>
      <c r="D290" s="504"/>
      <c r="E290" s="505">
        <v>386</v>
      </c>
      <c r="F290" s="505" t="s">
        <v>2014</v>
      </c>
      <c r="G290" s="14"/>
      <c r="H290" s="14"/>
    </row>
    <row r="291" spans="1:8">
      <c r="A291" s="504"/>
      <c r="B291" s="504"/>
      <c r="C291" s="504"/>
      <c r="D291" s="504"/>
      <c r="E291" s="504"/>
      <c r="F291" s="504"/>
      <c r="G291" s="14"/>
      <c r="H291" s="14"/>
    </row>
    <row r="292" spans="1:8">
      <c r="A292" s="504"/>
      <c r="B292" s="504"/>
      <c r="C292" s="504"/>
      <c r="D292" s="504"/>
      <c r="E292" s="504"/>
      <c r="F292" s="504"/>
      <c r="G292" s="14"/>
      <c r="H292" s="14"/>
    </row>
    <row r="293" spans="1:8">
      <c r="A293" s="504" t="s">
        <v>1730</v>
      </c>
      <c r="B293" s="506" t="s">
        <v>1731</v>
      </c>
      <c r="C293" s="504" t="s">
        <v>60</v>
      </c>
      <c r="D293" s="504">
        <v>61</v>
      </c>
      <c r="E293" s="504" t="s">
        <v>61</v>
      </c>
      <c r="F293" s="504" t="s">
        <v>2015</v>
      </c>
      <c r="G293" s="14"/>
      <c r="H293" s="14"/>
    </row>
    <row r="294" spans="1:8">
      <c r="A294" s="505">
        <v>12036</v>
      </c>
      <c r="B294" s="504" t="s">
        <v>2016</v>
      </c>
      <c r="C294" s="504" t="s">
        <v>576</v>
      </c>
      <c r="D294" s="504"/>
      <c r="E294" s="505">
        <v>348</v>
      </c>
      <c r="F294" s="505" t="s">
        <v>2017</v>
      </c>
      <c r="G294" s="14"/>
      <c r="H294" s="14"/>
    </row>
    <row r="295" spans="1:8">
      <c r="A295" s="505">
        <v>17051</v>
      </c>
      <c r="B295" s="504" t="s">
        <v>2018</v>
      </c>
      <c r="C295" s="504" t="s">
        <v>576</v>
      </c>
      <c r="D295" s="504"/>
      <c r="E295" s="505">
        <v>621</v>
      </c>
      <c r="F295" s="505" t="s">
        <v>2019</v>
      </c>
      <c r="G295" s="14"/>
      <c r="H295" s="14"/>
    </row>
    <row r="296" spans="1:8">
      <c r="A296" s="504"/>
      <c r="B296" s="504"/>
      <c r="C296" s="504"/>
      <c r="D296" s="504"/>
      <c r="E296" s="504"/>
      <c r="F296" s="504"/>
      <c r="G296" s="14"/>
      <c r="H296" s="14"/>
    </row>
    <row r="297" spans="1:8">
      <c r="A297" s="504"/>
      <c r="B297" s="504"/>
      <c r="C297" s="504"/>
      <c r="D297" s="504"/>
      <c r="E297" s="504"/>
      <c r="F297" s="504"/>
      <c r="G297" s="14"/>
      <c r="H297" s="14"/>
    </row>
    <row r="298" spans="1:8">
      <c r="A298" s="504" t="s">
        <v>1730</v>
      </c>
      <c r="B298" s="506" t="s">
        <v>1731</v>
      </c>
      <c r="C298" s="504" t="s">
        <v>60</v>
      </c>
      <c r="D298" s="504">
        <v>62</v>
      </c>
      <c r="E298" s="504" t="s">
        <v>61</v>
      </c>
      <c r="F298" s="504" t="s">
        <v>2020</v>
      </c>
      <c r="G298" s="14"/>
      <c r="H298" s="14"/>
    </row>
    <row r="299" spans="1:8">
      <c r="A299" s="505">
        <v>97290</v>
      </c>
      <c r="B299" s="504" t="s">
        <v>2021</v>
      </c>
      <c r="C299" s="504" t="s">
        <v>156</v>
      </c>
      <c r="D299" s="504"/>
      <c r="E299" s="505">
        <v>508</v>
      </c>
      <c r="F299" s="505" t="s">
        <v>2022</v>
      </c>
      <c r="G299" s="14"/>
      <c r="H299" s="14"/>
    </row>
    <row r="300" spans="1:8">
      <c r="A300" s="505"/>
      <c r="B300" s="504" t="s">
        <v>2023</v>
      </c>
      <c r="C300" s="504"/>
      <c r="D300" s="504" t="s">
        <v>1891</v>
      </c>
      <c r="E300" s="505"/>
      <c r="F300" s="505">
        <v>0</v>
      </c>
      <c r="G300" s="14"/>
      <c r="H300" s="14"/>
    </row>
    <row r="301" spans="1:8">
      <c r="A301" s="504"/>
      <c r="B301" s="504"/>
      <c r="C301" s="504"/>
      <c r="D301" s="504"/>
      <c r="E301" s="504"/>
      <c r="F301" s="504"/>
      <c r="G301" s="14"/>
      <c r="H301" s="14"/>
    </row>
    <row r="302" spans="1:8">
      <c r="A302" s="504"/>
      <c r="B302" s="504"/>
      <c r="C302" s="504"/>
      <c r="D302" s="504"/>
      <c r="E302" s="504"/>
      <c r="F302" s="504"/>
      <c r="G302" s="14"/>
      <c r="H302" s="14"/>
    </row>
    <row r="303" spans="1:8">
      <c r="A303" s="504" t="s">
        <v>1730</v>
      </c>
      <c r="B303" s="506" t="s">
        <v>1731</v>
      </c>
      <c r="C303" s="504" t="s">
        <v>60</v>
      </c>
      <c r="D303" s="504">
        <v>63</v>
      </c>
      <c r="E303" s="504" t="s">
        <v>61</v>
      </c>
      <c r="F303" s="504" t="s">
        <v>2024</v>
      </c>
      <c r="G303" s="14"/>
      <c r="H303" s="14"/>
    </row>
    <row r="304" spans="1:8">
      <c r="A304" s="505">
        <v>25016</v>
      </c>
      <c r="B304" s="504" t="s">
        <v>2025</v>
      </c>
      <c r="C304" s="504" t="s">
        <v>331</v>
      </c>
      <c r="D304" s="504"/>
      <c r="E304" s="505">
        <v>501</v>
      </c>
      <c r="F304" s="505" t="s">
        <v>2026</v>
      </c>
      <c r="G304" s="14"/>
      <c r="H304" s="14"/>
    </row>
    <row r="305" spans="1:8">
      <c r="A305" s="505">
        <v>29021</v>
      </c>
      <c r="B305" s="504" t="s">
        <v>2027</v>
      </c>
      <c r="C305" s="504" t="s">
        <v>331</v>
      </c>
      <c r="D305" s="504"/>
      <c r="E305" s="505">
        <v>635</v>
      </c>
      <c r="F305" s="505" t="s">
        <v>2028</v>
      </c>
      <c r="G305" s="14"/>
      <c r="H305" s="14"/>
    </row>
    <row r="306" spans="1:8">
      <c r="A306" s="504"/>
      <c r="B306" s="504"/>
      <c r="C306" s="504"/>
      <c r="D306" s="504"/>
      <c r="E306" s="504"/>
      <c r="F306" s="504"/>
      <c r="G306" s="14"/>
      <c r="H306" s="14"/>
    </row>
    <row r="307" spans="1:8">
      <c r="A307" s="504"/>
      <c r="B307" s="504"/>
      <c r="C307" s="504"/>
      <c r="D307" s="504"/>
      <c r="E307" s="504"/>
      <c r="F307" s="504"/>
      <c r="G307" s="14"/>
      <c r="H307" s="14"/>
    </row>
    <row r="308" spans="1:8">
      <c r="A308" s="504" t="s">
        <v>1730</v>
      </c>
      <c r="B308" s="506" t="s">
        <v>1731</v>
      </c>
      <c r="C308" s="504" t="s">
        <v>60</v>
      </c>
      <c r="D308" s="504">
        <v>64</v>
      </c>
      <c r="E308" s="504" t="s">
        <v>61</v>
      </c>
      <c r="F308" s="504" t="s">
        <v>2029</v>
      </c>
      <c r="G308" s="14"/>
      <c r="H308" s="14"/>
    </row>
    <row r="309" spans="1:8">
      <c r="A309" s="505">
        <v>16084</v>
      </c>
      <c r="B309" s="504" t="s">
        <v>2030</v>
      </c>
      <c r="C309" s="504" t="s">
        <v>1878</v>
      </c>
      <c r="D309" s="504"/>
      <c r="E309" s="505">
        <v>652</v>
      </c>
      <c r="F309" s="505" t="s">
        <v>2031</v>
      </c>
      <c r="G309" s="14"/>
      <c r="H309" s="14"/>
    </row>
    <row r="310" spans="1:8">
      <c r="A310" s="505">
        <v>16041</v>
      </c>
      <c r="B310" s="504" t="s">
        <v>2032</v>
      </c>
      <c r="C310" s="504" t="s">
        <v>2033</v>
      </c>
      <c r="D310" s="504"/>
      <c r="E310" s="505">
        <v>584</v>
      </c>
      <c r="F310" s="505" t="s">
        <v>2034</v>
      </c>
      <c r="G310" s="14"/>
      <c r="H310" s="14"/>
    </row>
    <row r="311" spans="1:8">
      <c r="A311" s="504"/>
      <c r="B311" s="504"/>
      <c r="C311" s="504"/>
      <c r="D311" s="504"/>
      <c r="E311" s="504"/>
      <c r="F311" s="504"/>
      <c r="G311" s="14"/>
      <c r="H311" s="14"/>
    </row>
    <row r="312" spans="1:8">
      <c r="A312" s="504"/>
      <c r="B312" s="504"/>
      <c r="C312" s="504"/>
      <c r="D312" s="504"/>
      <c r="E312" s="504"/>
      <c r="F312" s="504"/>
      <c r="G312" s="14"/>
      <c r="H312" s="14"/>
    </row>
    <row r="313" spans="1:8">
      <c r="A313" s="504" t="s">
        <v>1730</v>
      </c>
      <c r="B313" s="506" t="s">
        <v>1731</v>
      </c>
      <c r="C313" s="504" t="s">
        <v>60</v>
      </c>
      <c r="D313" s="504">
        <v>65</v>
      </c>
      <c r="E313" s="504" t="s">
        <v>61</v>
      </c>
      <c r="F313" s="504" t="s">
        <v>2035</v>
      </c>
      <c r="G313" s="14"/>
      <c r="H313" s="14"/>
    </row>
    <row r="314" spans="1:8">
      <c r="A314" s="505">
        <v>12060</v>
      </c>
      <c r="B314" s="504" t="s">
        <v>2036</v>
      </c>
      <c r="C314" s="504" t="s">
        <v>495</v>
      </c>
      <c r="D314" s="504"/>
      <c r="E314" s="505">
        <v>648</v>
      </c>
      <c r="F314" s="505" t="s">
        <v>2037</v>
      </c>
      <c r="G314" s="14"/>
      <c r="H314" s="14"/>
    </row>
    <row r="315" spans="1:8">
      <c r="A315" s="505"/>
      <c r="B315" s="504" t="s">
        <v>2038</v>
      </c>
      <c r="C315" s="504"/>
      <c r="D315" s="504" t="s">
        <v>1891</v>
      </c>
      <c r="E315" s="505"/>
      <c r="F315" s="505">
        <v>0</v>
      </c>
      <c r="G315" s="14"/>
      <c r="H315" s="14"/>
    </row>
    <row r="316" spans="1:8">
      <c r="A316" s="504"/>
      <c r="B316" s="504"/>
      <c r="C316" s="504"/>
      <c r="D316" s="504"/>
      <c r="E316" s="504"/>
      <c r="F316" s="504"/>
      <c r="G316" s="14"/>
      <c r="H316" s="14"/>
    </row>
    <row r="317" spans="1:8">
      <c r="A317" s="504"/>
      <c r="B317" s="504"/>
      <c r="C317" s="504"/>
      <c r="D317" s="504"/>
      <c r="E317" s="504"/>
      <c r="F317" s="504"/>
      <c r="G317" s="14"/>
      <c r="H317" s="14"/>
    </row>
    <row r="318" spans="1:8">
      <c r="A318" s="504" t="s">
        <v>1730</v>
      </c>
      <c r="B318" s="506" t="s">
        <v>1731</v>
      </c>
      <c r="C318" s="504" t="s">
        <v>60</v>
      </c>
      <c r="D318" s="504">
        <v>66</v>
      </c>
      <c r="E318" s="504" t="s">
        <v>61</v>
      </c>
      <c r="F318" s="504" t="s">
        <v>2039</v>
      </c>
      <c r="G318" s="14"/>
      <c r="H318" s="14"/>
    </row>
    <row r="319" spans="1:8">
      <c r="A319" s="505">
        <v>16081</v>
      </c>
      <c r="B319" s="504" t="s">
        <v>2040</v>
      </c>
      <c r="C319" s="504" t="s">
        <v>1878</v>
      </c>
      <c r="D319" s="504"/>
      <c r="E319" s="505">
        <v>689</v>
      </c>
      <c r="F319" s="505" t="s">
        <v>2041</v>
      </c>
      <c r="G319" s="14"/>
      <c r="H319" s="14"/>
    </row>
    <row r="320" spans="1:8">
      <c r="A320" s="505">
        <v>17010</v>
      </c>
      <c r="B320" s="504" t="s">
        <v>2042</v>
      </c>
      <c r="C320" s="504" t="s">
        <v>1878</v>
      </c>
      <c r="D320" s="504"/>
      <c r="E320" s="505">
        <v>760</v>
      </c>
      <c r="F320" s="505" t="s">
        <v>1925</v>
      </c>
      <c r="G320" s="14"/>
      <c r="H320" s="14"/>
    </row>
    <row r="321" spans="1:8">
      <c r="A321" s="504"/>
      <c r="B321" s="504"/>
      <c r="C321" s="504"/>
      <c r="D321" s="504"/>
      <c r="E321" s="504"/>
      <c r="F321" s="504"/>
      <c r="G321" s="14"/>
      <c r="H321" s="14"/>
    </row>
    <row r="322" spans="1:8">
      <c r="A322" s="504"/>
      <c r="B322" s="504"/>
      <c r="C322" s="504"/>
      <c r="D322" s="504"/>
      <c r="E322" s="504"/>
      <c r="F322" s="504"/>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c r="E643" s="485"/>
      <c r="F643" s="485"/>
      <c r="G643" s="14"/>
      <c r="H643" s="14"/>
    </row>
  </sheetData>
  <phoneticPr fontId="0" type="noConversion"/>
  <hyperlinks>
    <hyperlink ref="C3" r:id="rId1" display="http://czechpetanque.cz/klub.html?id=64"/>
    <hyperlink ref="B8" r:id="rId2" display="http://czechpetanque.cz/odhlasit.html?pr=27242"/>
    <hyperlink ref="B13" r:id="rId3" display="http://czechpetanque.cz/odhlasit.html?pr=27244"/>
    <hyperlink ref="B18" r:id="rId4" display="http://czechpetanque.cz/odhlasit.html?pr=27239"/>
    <hyperlink ref="B23" r:id="rId5" display="http://czechpetanque.cz/odhlasit.html?pr=27231"/>
    <hyperlink ref="B28" r:id="rId6" display="http://czechpetanque.cz/odhlasit.html?pr=27331"/>
    <hyperlink ref="B33" r:id="rId7" display="http://czechpetanque.cz/odhlasit.html?pr=27248"/>
    <hyperlink ref="B38" r:id="rId8" display="http://czechpetanque.cz/odhlasit.html?pr=27304"/>
    <hyperlink ref="B43" r:id="rId9" display="http://czechpetanque.cz/odhlasit.html?pr=27240"/>
    <hyperlink ref="B48" r:id="rId10" display="http://czechpetanque.cz/odhlasit.html?pr=27225"/>
    <hyperlink ref="B53" r:id="rId11" display="http://czechpetanque.cz/odhlasit.html?pr=27228"/>
    <hyperlink ref="B58" r:id="rId12" display="http://czechpetanque.cz/odhlasit.html?pr=27247"/>
    <hyperlink ref="B63" r:id="rId13" display="http://czechpetanque.cz/odhlasit.html?pr=27237"/>
    <hyperlink ref="B68" r:id="rId14" display="http://czechpetanque.cz/odhlasit.html?pr=27539"/>
    <hyperlink ref="B73" r:id="rId15" display="http://czechpetanque.cz/odhlasit.html?pr=27271"/>
    <hyperlink ref="B78" r:id="rId16" display="http://czechpetanque.cz/odhlasit.html?pr=27319"/>
    <hyperlink ref="B83" r:id="rId17" display="http://czechpetanque.cz/odhlasit.html?pr=28249"/>
    <hyperlink ref="B88" r:id="rId18" display="http://czechpetanque.cz/odhlasit.html?pr=28153"/>
    <hyperlink ref="B93" r:id="rId19" display="http://czechpetanque.cz/odhlasit.html?pr=27252"/>
    <hyperlink ref="B98" r:id="rId20" display="http://czechpetanque.cz/odhlasit.html?pr=27982"/>
    <hyperlink ref="B103" r:id="rId21" display="http://czechpetanque.cz/odhlasit.html?pr=27235"/>
    <hyperlink ref="B108" r:id="rId22" display="http://czechpetanque.cz/odhlasit.html?pr=27229"/>
    <hyperlink ref="B113" r:id="rId23" display="http://czechpetanque.cz/odhlasit.html?pr=27230"/>
    <hyperlink ref="B118" r:id="rId24" display="http://czechpetanque.cz/odhlasit.html?pr=27261"/>
    <hyperlink ref="B123" r:id="rId25" display="http://czechpetanque.cz/odhlasit.html?pr=27234"/>
    <hyperlink ref="B128" r:id="rId26" display="http://czechpetanque.cz/odhlasit.html?pr=27326"/>
    <hyperlink ref="B133" r:id="rId27" display="http://czechpetanque.cz/odhlasit.html?pr=27287"/>
    <hyperlink ref="B138" r:id="rId28" display="http://czechpetanque.cz/odhlasit.html?pr=27250"/>
    <hyperlink ref="B143" r:id="rId29" display="http://czechpetanque.cz/odhlasit.html?pr=27321"/>
    <hyperlink ref="B148" r:id="rId30" display="http://czechpetanque.cz/odhlasit.html?pr=27245"/>
    <hyperlink ref="B153" r:id="rId31" display="http://czechpetanque.cz/odhlasit.html?pr=27258"/>
    <hyperlink ref="B158" r:id="rId32" display="http://czechpetanque.cz/odhlasit.html?pr=27246"/>
    <hyperlink ref="B163" r:id="rId33" display="http://czechpetanque.cz/odhlasit.html?pr=27933"/>
    <hyperlink ref="B168" r:id="rId34" display="http://czechpetanque.cz/odhlasit.html?pr=27878"/>
    <hyperlink ref="B173" r:id="rId35" display="http://czechpetanque.cz/odhlasit.html?pr=27241"/>
    <hyperlink ref="B178" r:id="rId36" display="http://czechpetanque.cz/odhlasit.html?pr=27283"/>
    <hyperlink ref="B183" r:id="rId37" display="http://czechpetanque.cz/odhlasit.html?pr=27238"/>
    <hyperlink ref="B188" r:id="rId38" display="http://czechpetanque.cz/odhlasit.html?pr=27879"/>
    <hyperlink ref="B193" r:id="rId39" display="http://czechpetanque.cz/odhlasit.html?pr=27465"/>
    <hyperlink ref="B198" r:id="rId40" display="http://czechpetanque.cz/odhlasit.html?pr=27251"/>
    <hyperlink ref="B203" r:id="rId41" display="http://czechpetanque.cz/odhlasit.html?pr=27427"/>
    <hyperlink ref="B208" r:id="rId42" display="http://czechpetanque.cz/odhlasit.html?pr=27268"/>
    <hyperlink ref="B213" r:id="rId43" display="http://czechpetanque.cz/odhlasit.html?pr=27264"/>
    <hyperlink ref="B218" r:id="rId44" display="http://czechpetanque.cz/odhlasit.html?pr=27233"/>
    <hyperlink ref="B223" r:id="rId45" display="http://czechpetanque.cz/odhlasit.html?pr=27259"/>
    <hyperlink ref="B228" r:id="rId46" display="http://czechpetanque.cz/odhlasit.html?pr=27273"/>
    <hyperlink ref="B233" r:id="rId47" display="http://czechpetanque.cz/odhlasit.html?pr=27296"/>
    <hyperlink ref="B238" r:id="rId48" display="http://czechpetanque.cz/odhlasit.html?pr=27269"/>
    <hyperlink ref="B243" r:id="rId49" display="http://czechpetanque.cz/odhlasit.html?pr=28058"/>
    <hyperlink ref="B248" r:id="rId50" display="http://czechpetanque.cz/odhlasit.html?pr=28019"/>
    <hyperlink ref="B253" r:id="rId51" display="http://czechpetanque.cz/odhlasit.html?pr=28250"/>
    <hyperlink ref="B258" r:id="rId52" display="http://czechpetanque.cz/odhlasit.html?pr=27262"/>
    <hyperlink ref="B263" r:id="rId53" display="http://czechpetanque.cz/odhlasit.html?pr=27429"/>
    <hyperlink ref="B268" r:id="rId54" display="http://czechpetanque.cz/odhlasit.html?pr=28002"/>
    <hyperlink ref="B273" r:id="rId55" display="http://czechpetanque.cz/odhlasit.html?pr=27270"/>
    <hyperlink ref="B278" r:id="rId56" display="http://czechpetanque.cz/odhlasit.html?pr=27267"/>
    <hyperlink ref="B283" r:id="rId57" display="http://czechpetanque.cz/odhlasit.html?pr=27265"/>
    <hyperlink ref="B288" r:id="rId58" display="http://czechpetanque.cz/odhlasit.html?pr=27760"/>
    <hyperlink ref="B293" r:id="rId59" display="http://czechpetanque.cz/odhlasit.html?pr=27677"/>
    <hyperlink ref="B298" r:id="rId60" display="http://czechpetanque.cz/odhlasit.html?pr=28001"/>
    <hyperlink ref="B303" r:id="rId61" display="http://czechpetanque.cz/odhlasit.html?pr=27249"/>
    <hyperlink ref="B308" r:id="rId62" display="http://czechpetanque.cz/odhlasit.html?pr=27407"/>
    <hyperlink ref="B313" r:id="rId63" display="http://czechpetanque.cz/odhlasit.html?pr=28147"/>
    <hyperlink ref="B318" r:id="rId64" display="http://czechpetanque.cz/odhlasit.html?pr=28157"/>
  </hyperlinks>
  <pageMargins left="0.78740157499999996" right="0.78740157499999996" top="0.984251969" bottom="0.984251969" header="0.4921259845" footer="0.4921259845"/>
  <pageSetup paperSize="9" orientation="portrait" horizontalDpi="300" verticalDpi="300" r:id="rId65"/>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3 PC Sokol Lipník - Fafek Petr</v>
      </c>
      <c r="E4" s="157">
        <f ca="1">VLOOKUP(C4,Postupy!$A$3:$X$6,24,0)</f>
        <v>13</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13 PC Kolová - Plucar Petr</v>
      </c>
      <c r="E5" s="158">
        <f ca="1">VLOOKUP(C5,Postupy!$A$3:$X$6,24,0)</f>
        <v>6</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3 PC Sokol Lipník - Fafek Petr</v>
      </c>
      <c r="I6" s="157">
        <f ca="1">VLOOKUP(G6,Postupy!$A$3:$Z$6,26,0)</f>
        <v>12</v>
      </c>
      <c r="J6" s="27"/>
      <c r="K6" s="39">
        <v>1</v>
      </c>
      <c r="L6" s="135" t="str">
        <f ca="1">IF(AND(I6="",I7="")," ",IF(N(I6)=N(I7)," ",IF(N(I6)&gt;N(I7),H6,H7)))</f>
        <v>15 Sokol Kostomlaty - Vyoral Hynek</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15 Sokol Kostomlaty - Vyoral Hynek</v>
      </c>
      <c r="I7" s="158">
        <f ca="1">VLOOKUP(G7,Postupy!$A$3:$Z$6,26,0)</f>
        <v>13</v>
      </c>
      <c r="J7" s="17"/>
      <c r="K7" s="39">
        <v>2</v>
      </c>
      <c r="L7" s="133" t="str">
        <f ca="1">IF(AND(I6="",I7="")," ",IF(N(I7)=N(I6)," ",IF(N(I7)&gt;N(I6),H6,H7)))</f>
        <v>3 PC Sokol Lipník - Fafek Petr</v>
      </c>
      <c r="M7" s="132">
        <v>2</v>
      </c>
      <c r="N7" s="17"/>
      <c r="O7" s="17"/>
      <c r="P7" s="17"/>
    </row>
    <row r="8" spans="1:28" ht="18.75" thickBot="1">
      <c r="A8" s="118" t="str">
        <f ca="1">VLOOKUP(C8,Postupy!$A$3:$C$9,3,0)</f>
        <v>C1</v>
      </c>
      <c r="B8" s="17"/>
      <c r="C8" s="110">
        <v>3</v>
      </c>
      <c r="D8" s="344" t="str">
        <f ca="1">VLOOKUP(C8,Postupy!$A$3:$W$6,23,0)</f>
        <v>6 PC Sokol Lipník - Froňková Blanka</v>
      </c>
      <c r="E8" s="157">
        <f ca="1">VLOOKUP(C8,Postupy!$A$3:$X$6,24,0)</f>
        <v>8</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15 Sokol Kostomlaty - Vyoral Hynek</v>
      </c>
      <c r="E9" s="158">
        <f ca="1">VLOOKUP(C9,Postupy!$A$3:$X$6,24,0)</f>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13 PC Kolová - Plucar Petr</v>
      </c>
      <c r="I16" s="157">
        <f ca="1">VLOOKUP(G16,Postupy!$A$3:$Z$6,26,0)</f>
        <v>13</v>
      </c>
      <c r="J16" s="199"/>
      <c r="K16" s="39">
        <v>3</v>
      </c>
      <c r="L16" s="133" t="str">
        <f ca="1">IF(AND(I16="",I17="")," ",IF(N(I16)=N(I17)," ",IF(N(I16)&gt;N(I17),H16,H17)))</f>
        <v>13 PC Kolová - Plucar Petr</v>
      </c>
      <c r="M16" s="132">
        <v>3</v>
      </c>
      <c r="N16" s="17"/>
      <c r="O16" s="18"/>
      <c r="P16" s="17"/>
    </row>
    <row r="17" spans="1:16" ht="19.5" thickTop="1" thickBot="1">
      <c r="A17" s="106"/>
      <c r="B17" s="17"/>
      <c r="C17" s="17"/>
      <c r="D17" s="66"/>
      <c r="E17" s="17"/>
      <c r="F17" s="17"/>
      <c r="G17" s="112">
        <v>3</v>
      </c>
      <c r="H17" s="113" t="str">
        <f ca="1">IF(OR(TRIM(D8)="-",TRIM(D9)="-"), IF(TRIM(D8)="-",D9,D8),IF(AND(E8="",E9="")," ",IF(N(E9)=N(E8)," ",IF(N(E9)&gt;N(E8),D8,D9))))</f>
        <v>6 PC Sokol Lipník - Froňková Blanka</v>
      </c>
      <c r="I17" s="158">
        <f ca="1">VLOOKUP(G17,Postupy!$A$3:$Z$6,26,0)</f>
        <v>6</v>
      </c>
      <c r="J17" s="187"/>
      <c r="K17" s="39">
        <v>4</v>
      </c>
      <c r="L17" s="133" t="str">
        <f ca="1">IF(AND(I16="",I17="")," ",IF(N(I17)=N(I16)," ",IF(N(I17)&gt;N(I16),H16,H17)))</f>
        <v>6 PC Sokol Lipník - Froňková Blanka</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election activeCell="C17" sqref="B1:C17"/>
    </sheetView>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15 Sokol Kostomlaty - Vyoral Hynek</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Vyoral Hynek Sokol Kostomlaty, Šplechtová Dana Sokol Kostomlaty,             </v>
      </c>
      <c r="D2" s="138">
        <v>1</v>
      </c>
      <c r="F2">
        <f ca="1">IF(TYPE(VLOOKUP($B2,Start.listina!$AL$11:$BF$138,21,0))=16,"",VLOOKUP($B2,Start.listina!$AL$11:$BF$138,21,0))</f>
        <v>15</v>
      </c>
    </row>
    <row r="3" spans="1:6" ht="22.9" customHeight="1">
      <c r="A3" s="139">
        <v>2</v>
      </c>
      <c r="B3" s="176" t="str">
        <f ca="1">VLOOKUP($A3,Postupy!$A$3:$I$18,9,0)</f>
        <v>3 PC Sokol Lipník - Fafek Petr</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Fafek Petr PC Sokol Lipník, Fafková Jana PC Sokol Lipník,             </v>
      </c>
      <c r="D3" s="139">
        <v>2</v>
      </c>
      <c r="F3">
        <f ca="1">IF(TYPE(VLOOKUP($B3,Start.listina!$AL$11:$BF$138,21,0))=16,"",VLOOKUP($B3,Start.listina!$AL$11:$BF$138,21,0))</f>
        <v>3</v>
      </c>
    </row>
    <row r="4" spans="1:6" ht="22.9" customHeight="1">
      <c r="A4" s="139">
        <v>3</v>
      </c>
      <c r="B4" s="176" t="str">
        <f ca="1">VLOOKUP($A4,Postupy!$A$3:$I$18,9,0)</f>
        <v>13 PC Kolová - Plucar Petr</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Plucar Petr PC Kolová, Kacerovský Ivo PC Kolová,             </v>
      </c>
      <c r="D4" s="139">
        <v>3</v>
      </c>
      <c r="F4">
        <f ca="1">IF(TYPE(VLOOKUP($B4,Start.listina!$AL$11:$BF$138,21,0))=16,"",VLOOKUP($B4,Start.listina!$AL$11:$BF$138,21,0))</f>
        <v>13</v>
      </c>
    </row>
    <row r="5" spans="1:6" ht="22.9" customHeight="1">
      <c r="A5" s="139">
        <v>4</v>
      </c>
      <c r="B5" s="176" t="str">
        <f ca="1">VLOOKUP($A5,Postupy!$A$3:$I$18,9,0)</f>
        <v>6 PC Sokol Lipník - Froňková Blanka</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Froňková Blanka PC Sokol Lipník, Morávek Petr PC Sokol Lipník,             </v>
      </c>
      <c r="D5" s="139">
        <v>4</v>
      </c>
      <c r="F5">
        <f ca="1">IF(TYPE(VLOOKUP($B5,Start.listina!$AL$11:$BF$138,21,0))=16,"",VLOOKUP($B5,Start.listina!$AL$11:$BF$138,21,0))</f>
        <v>6</v>
      </c>
    </row>
    <row r="6" spans="1:6" ht="22.9" customHeight="1">
      <c r="A6" s="139">
        <v>5</v>
      </c>
      <c r="B6" s="176" t="str">
        <f ca="1">VLOOKUP($A6,Postupy!$A$3:$I$18,9,0)</f>
        <v>32 PK Osika Plzeň - Radoušová Jana</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Radoušová Jana PK Osika Plzeň, Michal Stano    ,             </v>
      </c>
      <c r="D6" s="139">
        <v>5</v>
      </c>
      <c r="F6">
        <f ca="1">IF(TYPE(VLOOKUP($B6,Start.listina!$AL$11:$BF$138,21,0))=16,"",VLOOKUP($B6,Start.listina!$AL$11:$BF$138,21,0))</f>
        <v>32</v>
      </c>
    </row>
    <row r="7" spans="1:6" ht="22.9" customHeight="1">
      <c r="A7" s="139">
        <v>6</v>
      </c>
      <c r="B7" s="176" t="str">
        <f ca="1">VLOOKUP($A7,Postupy!$A$3:$I$18,9,0)</f>
        <v>14 Petank Club Praha - Vorel Jan</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Vorel Jan Petank Club Praha, Boubínová Vendula Petank Club Praha,             </v>
      </c>
      <c r="D7" s="139">
        <v>6</v>
      </c>
      <c r="F7">
        <f ca="1">IF(TYPE(VLOOKUP($B7,Start.listina!$AL$11:$BF$138,21,0))=16,"",VLOOKUP($B7,Start.listina!$AL$11:$BF$138,21,0))</f>
        <v>14</v>
      </c>
    </row>
    <row r="8" spans="1:6" ht="22.9" customHeight="1">
      <c r="A8" s="139">
        <v>7</v>
      </c>
      <c r="B8" s="176" t="str">
        <f ca="1">VLOOKUP($A8,Postupy!$A$3:$I$18,9,0)</f>
        <v>24 PK Osika Plzeň - Jirkovský Tomáš</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Jirkovský Tomáš PK Osika Plzeň, Felčárek Jaroslav FRAPECO,             </v>
      </c>
      <c r="D8" s="139">
        <v>7</v>
      </c>
      <c r="F8">
        <f ca="1">IF(TYPE(VLOOKUP($B8,Start.listina!$AL$11:$BF$138,21,0))=16,"",VLOOKUP($B8,Start.listina!$AL$11:$BF$138,21,0))</f>
        <v>24</v>
      </c>
    </row>
    <row r="9" spans="1:6" ht="22.9" customHeight="1">
      <c r="A9" s="139">
        <v>8</v>
      </c>
      <c r="B9" s="176" t="str">
        <f ca="1">VLOOKUP($A9,Postupy!$A$3:$I$18,9,0)</f>
        <v>28 UBU Únětice - Kot Pavel</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Kot Pavel UBU Únětice, Kotová Jiřina UBU Únětice,             </v>
      </c>
      <c r="D9" s="139">
        <v>8</v>
      </c>
      <c r="F9">
        <f ca="1">IF(TYPE(VLOOKUP($B9,Start.listina!$AL$11:$BF$138,21,0))=16,"",VLOOKUP($B9,Start.listina!$AL$11:$BF$138,21,0))</f>
        <v>28</v>
      </c>
    </row>
    <row r="10" spans="1:6" ht="22.9" customHeight="1">
      <c r="A10" s="139">
        <v>9</v>
      </c>
      <c r="B10" s="176" t="str">
        <f ca="1">VLOOKUP($A10,Postupy!$A$3:$I$18,9,0)</f>
        <v>34 PK Osika Plzeň - Špitálský Milan</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Špitálský Milan PK Osika Plzeň, Mrázová Eva PK Osika Plzeň,             </v>
      </c>
      <c r="D10" s="139">
        <v>9</v>
      </c>
      <c r="F10">
        <f ca="1">IF(TYPE(VLOOKUP($B10,Start.listina!$AL$11:$BF$138,21,0))=16,"",VLOOKUP($B10,Start.listina!$AL$11:$BF$138,21,0))</f>
        <v>34</v>
      </c>
    </row>
    <row r="11" spans="1:6" ht="22.9" customHeight="1">
      <c r="A11" s="139">
        <v>10</v>
      </c>
      <c r="B11" s="176" t="str">
        <f ca="1">VLOOKUP($A11,Postupy!$A$3:$I$18,9,0)</f>
        <v>20 Club Rodamiento - Dlouhá Ivana</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Dlouhá Ivana Club Rodamiento, Kamaryt Josef Club Rodamiento,             </v>
      </c>
      <c r="D11" s="139">
        <v>10</v>
      </c>
      <c r="F11">
        <f ca="1">IF(TYPE(VLOOKUP($B11,Start.listina!$AL$11:$BF$138,21,0))=16,"",VLOOKUP($B11,Start.listina!$AL$11:$BF$138,21,0))</f>
        <v>20</v>
      </c>
    </row>
    <row r="12" spans="1:6" ht="22.9" customHeight="1">
      <c r="A12" s="139">
        <v>11</v>
      </c>
      <c r="B12" s="176" t="str">
        <f ca="1">VLOOKUP($A12,Postupy!$A$3:$I$18,9,0)</f>
        <v>22 SKP Kulová osma - Zátka Miloslav</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Zátka Miloslav SKP Kulová osma, Mitkovová Hana SKP Kulová osma,             </v>
      </c>
      <c r="D12" s="139">
        <v>11</v>
      </c>
      <c r="F12">
        <f ca="1">IF(TYPE(VLOOKUP($B12,Start.listina!$AL$11:$BF$138,21,0))=16,"",VLOOKUP($B12,Start.listina!$AL$11:$BF$138,21,0))</f>
        <v>22</v>
      </c>
    </row>
    <row r="13" spans="1:6" ht="22.9" customHeight="1">
      <c r="A13" s="139">
        <v>12</v>
      </c>
      <c r="B13" s="176" t="str">
        <f ca="1">VLOOKUP($A13,Postupy!$A$3:$I$18,9,0)</f>
        <v>7 CdP Loděnice - Mrázek Petr</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Mrázek Petr CdP Loděnice, Beránek Miroslav PC Kolová,             </v>
      </c>
      <c r="D13" s="139">
        <v>12</v>
      </c>
      <c r="F13">
        <f ca="1">IF(TYPE(VLOOKUP($B13,Start.listina!$AL$11:$BF$138,21,0))=16,"",VLOOKUP($B13,Start.listina!$AL$11:$BF$138,21,0))</f>
        <v>7</v>
      </c>
    </row>
    <row r="14" spans="1:6" ht="22.9" customHeight="1">
      <c r="A14" s="139">
        <v>13</v>
      </c>
      <c r="B14" s="176" t="str">
        <f ca="1">VLOOKUP($A14,Postupy!$A$3:$I$18,9,0)</f>
        <v>62 CdP Loděnice - Pospíšilová Šárka</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Pospíšilová Šárka CdP Loděnice, Ondřej Pfeiffer    ,             </v>
      </c>
      <c r="D14" s="139">
        <v>13</v>
      </c>
      <c r="F14">
        <f ca="1">IF(TYPE(VLOOKUP($B14,Start.listina!$AL$11:$BF$138,21,0))=16,"",VLOOKUP($B14,Start.listina!$AL$11:$BF$138,21,0))</f>
        <v>62</v>
      </c>
    </row>
    <row r="15" spans="1:6" ht="22.9" customHeight="1">
      <c r="A15" s="139">
        <v>14</v>
      </c>
      <c r="B15" s="176" t="str">
        <f ca="1">VLOOKUP($A15,Postupy!$A$3:$I$18,9,0)</f>
        <v>44 Spolek Park Grébovka - Nepomucký Jaroslav</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Nepomucký Jaroslav Spolek Park Grébovka, Hykl Ondřej Spolek Park Grébovka,             </v>
      </c>
      <c r="D15" s="139">
        <v>14</v>
      </c>
      <c r="F15">
        <f ca="1">IF(TYPE(VLOOKUP($B15,Start.listina!$AL$11:$BF$138,21,0))=16,"",VLOOKUP($B15,Start.listina!$AL$11:$BF$138,21,0))</f>
        <v>44</v>
      </c>
    </row>
    <row r="16" spans="1:6" ht="22.9" customHeight="1">
      <c r="A16" s="139">
        <v>15</v>
      </c>
      <c r="B16" s="176" t="str">
        <f ca="1">VLOOKUP($A16,Postupy!$A$3:$I$18,9,0)</f>
        <v>4 PC Kolová - Kauca Jindřich</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Kauca Jindřich PC Kolová, Valenz Jan PK Osika Plzeň,             </v>
      </c>
      <c r="D16" s="139">
        <v>15</v>
      </c>
      <c r="F16">
        <f ca="1">IF(TYPE(VLOOKUP($B16,Start.listina!$AL$11:$BF$138,21,0))=16,"",VLOOKUP($B16,Start.listina!$AL$11:$BF$138,21,0))</f>
        <v>4</v>
      </c>
    </row>
    <row r="17" spans="1:6" ht="22.9" customHeight="1" thickBot="1">
      <c r="A17" s="140">
        <v>16</v>
      </c>
      <c r="B17" s="177" t="str">
        <f ca="1">VLOOKUP($A17,Postupy!$A$3:$I$18,9,0)</f>
        <v>2 SK Sahara Vědomice - Demčík Milan St.</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Demčík Milan St. SK Sahara Vědomice, Demčíková Jiřina SK Sahara Vědomice,             </v>
      </c>
      <c r="D17" s="140">
        <v>16</v>
      </c>
      <c r="F17">
        <f ca="1">IF(TYPE(VLOOKUP($B17,Start.listina!$AL$11:$BF$138,21,0))=16,"",VLOOKUP($B17,Start.listina!$AL$11:$BF$138,21,0))</f>
        <v>2</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5433070866141736" right="0.82677165354330717" top="0.98425196850393704" bottom="0.98425196850393704" header="0.51181102362204722" footer="0.51181102362204722"/>
  <pageSetup paperSize="9" orientation="landscape"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18</v>
      </c>
      <c r="N2" s="364">
        <f ca="1">(P2-O2*O1)/N1</f>
        <v>1</v>
      </c>
      <c r="O2" s="364">
        <f ca="1">IF(S2=0,Q2,IF(V2=0,T2,IF(Y2=0,W2,IF(AB2=0,Z2,IF(AE2=0,IF(AH2=0,AF2,0))))))</f>
        <v>15</v>
      </c>
      <c r="P2" s="15">
        <f ca="1">Start.listina!$K$7</f>
        <v>63</v>
      </c>
      <c r="Q2" s="364">
        <f ca="1">INT($P2/$O1)+Q1</f>
        <v>15</v>
      </c>
      <c r="R2" s="364">
        <f ca="1">IF(($P2-INT(Q2)*$O1)&gt;$P2,-1,$P2-INT(Q2)*$O1)</f>
        <v>3</v>
      </c>
      <c r="S2" s="365">
        <f ca="1">IF(($P2-INT(Q2)*$O1)&gt;$P2,-1,MOD(R2,$N1))</f>
        <v>0</v>
      </c>
      <c r="T2" s="364">
        <f ca="1">INT($P2/$O1)+T1</f>
        <v>14</v>
      </c>
      <c r="U2" s="364">
        <f ca="1">IF(($P2-INT(T2)*$O1)&gt;$P2,-1,$P2-INT(T2)*$O1)</f>
        <v>7</v>
      </c>
      <c r="V2" s="365">
        <f ca="1">IF(($P2-INT(T2)*$O1)&gt;$P2,-1,MOD(U2,$N1))</f>
        <v>1</v>
      </c>
      <c r="W2" s="364">
        <f ca="1">INT($P2/$O1)+W1</f>
        <v>13</v>
      </c>
      <c r="X2" s="364">
        <f ca="1">IF(($P2-INT(W2)*$O1)&gt;$P2,-1,$P2-INT(W2)*$O1)</f>
        <v>11</v>
      </c>
      <c r="Y2" s="365">
        <f ca="1">IF(($P2-INT(W2)*$O1)&gt;$P2,-1,MOD(X2,$N1))</f>
        <v>2</v>
      </c>
      <c r="Z2" s="364">
        <f ca="1">INT($P2/$O1)+Z1</f>
        <v>12</v>
      </c>
      <c r="AA2" s="364">
        <f ca="1">IF(($P2-INT(Z2)*$O1)&gt;$P2,-1,$P2-INT(Z2)*$O1)</f>
        <v>15</v>
      </c>
      <c r="AB2" s="365">
        <f ca="1">IF(($P2-INT(Z2)*$O1)&gt;$P2,-1,MOD(AA2,$N1))</f>
        <v>0</v>
      </c>
      <c r="AC2" s="364">
        <f ca="1">INT($P2/$O1)+AC1</f>
        <v>11</v>
      </c>
      <c r="AD2" s="364">
        <f ca="1">IF(($P2-INT(AC2)*$O1)&gt;$P2,-1,$P2-INT(AC2)*$O1)</f>
        <v>19</v>
      </c>
      <c r="AE2" s="365">
        <f ca="1">IF(($P2-INT(AC2)*$O1)&gt;$P2,-1,MOD(AD2,$N1))</f>
        <v>1</v>
      </c>
      <c r="AF2" s="364">
        <f ca="1">INT($P2/$O1)+AF1</f>
        <v>10</v>
      </c>
      <c r="AG2" s="364">
        <f ca="1">IF(($P2-INT(AF2)*$O1)&gt;$P2,-1,$P2-INT(AF2)*$O1)</f>
        <v>23</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32</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999</v>
      </c>
      <c r="J3" s="2">
        <f ca="1">IF(TYPE(VLOOKUP(C3,'KO8'!$D$4:$D$17,1,0))&lt;4,8,999)</f>
        <v>999</v>
      </c>
      <c r="K3" s="2">
        <f ca="1">IF(TYPE(VLOOKUP(C3,'KO4'!$D$4:$D$9,1,0))&lt;4,4,999)</f>
        <v>999</v>
      </c>
      <c r="L3" s="2">
        <f ca="1">Start.listina!$K$7</f>
        <v>63</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SK Sahara Vědomice - Demčík Milan St.</v>
      </c>
      <c r="D4" s="2">
        <f ca="1">IF(A4&gt;Start.listina!$K$7,"",INT((A4-1)/$M$2)+1)</f>
        <v>1</v>
      </c>
      <c r="E4" s="302">
        <f ca="1">IF(A4&gt;Start.listina!$K$7,"",MIN(F4:L4))</f>
        <v>16</v>
      </c>
      <c r="F4" s="2">
        <f ca="1">IF(TYPE(VLOOKUP(C4,Konečné_pořadí_1_16!$B$2:$D$17,3,0))&lt;4,VLOOKUP(C4,Konečné_pořadí_1_16!$B$2:$D$17,3,0),999)</f>
        <v>16</v>
      </c>
      <c r="G4" s="2">
        <f ca="1">IF(TYPE(VLOOKUP(C4,'KO64'!$D$4:$D$129,1,0))&lt;4,64,999)</f>
        <v>64</v>
      </c>
      <c r="H4" s="2">
        <f ca="1">IF(TYPE(VLOOKUP(C4,'KO32'!$D$4:$D$65,1,0))&lt;4,32,999)</f>
        <v>32</v>
      </c>
      <c r="I4" s="2">
        <f ca="1">IF(TYPE(VLOOKUP(C4,'KO16'!$D$4:$D$33,1,0))&lt;4,16,999)</f>
        <v>16</v>
      </c>
      <c r="J4" s="2">
        <f ca="1">IF(TYPE(VLOOKUP(C4,'KO8'!$D$4:$D$17,1,0))&lt;4,8,999)</f>
        <v>999</v>
      </c>
      <c r="K4" s="2">
        <f ca="1">IF(TYPE(VLOOKUP(C4,'KO4'!$D$4:$D$9,1,0))&lt;4,4,999)</f>
        <v>999</v>
      </c>
      <c r="L4" s="2">
        <f ca="1">Start.listina!$K$7</f>
        <v>63</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Sokol Lipník - Fafek Petr</v>
      </c>
      <c r="D5" s="2">
        <f ca="1">IF(A5&gt;Start.listina!$K$7,"",INT((A5-1)/$M$2)+1)</f>
        <v>1</v>
      </c>
      <c r="E5" s="302">
        <f ca="1">IF(A5&gt;Start.listina!$K$7,"",MIN(F5:L5))</f>
        <v>2</v>
      </c>
      <c r="F5" s="2">
        <f ca="1">IF(TYPE(VLOOKUP(C5,Konečné_pořadí_1_16!$B$2:$D$17,3,0))&lt;4,VLOOKUP(C5,Konečné_pořadí_1_16!$B$2:$D$17,3,0),999)</f>
        <v>2</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63</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 Kolová - Kauca Jindřich</v>
      </c>
      <c r="D6" s="2">
        <f ca="1">IF(A6&gt;Start.listina!$K$7,"",INT((A6-1)/$M$2)+1)</f>
        <v>1</v>
      </c>
      <c r="E6" s="302">
        <f ca="1">IF(A6&gt;Start.listina!$K$7,"",MIN(F6:L6))</f>
        <v>15</v>
      </c>
      <c r="F6" s="2">
        <f ca="1">IF(TYPE(VLOOKUP(C6,Konečné_pořadí_1_16!$B$2:$D$17,3,0))&lt;4,VLOOKUP(C6,Konečné_pořadí_1_16!$B$2:$D$17,3,0),999)</f>
        <v>15</v>
      </c>
      <c r="G6" s="2">
        <f ca="1">IF(TYPE(VLOOKUP(C6,'KO64'!$D$4:$D$129,1,0))&lt;4,64,999)</f>
        <v>64</v>
      </c>
      <c r="H6" s="2">
        <f ca="1">IF(TYPE(VLOOKUP(C6,'KO32'!$D$4:$D$65,1,0))&lt;4,32,999)</f>
        <v>32</v>
      </c>
      <c r="I6" s="2">
        <f ca="1">IF(TYPE(VLOOKUP(C6,'KO16'!$D$4:$D$33,1,0))&lt;4,16,999)</f>
        <v>16</v>
      </c>
      <c r="J6" s="2">
        <f ca="1">IF(TYPE(VLOOKUP(C6,'KO8'!$D$4:$D$17,1,0))&lt;4,8,999)</f>
        <v>999</v>
      </c>
      <c r="K6" s="2">
        <f ca="1">IF(TYPE(VLOOKUP(C6,'KO4'!$D$4:$D$9,1,0))&lt;4,4,999)</f>
        <v>999</v>
      </c>
      <c r="L6" s="2">
        <f ca="1">Start.listina!$K$7</f>
        <v>63</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CdP Loděnice - Marhoul Jan</v>
      </c>
      <c r="D7" s="2">
        <f ca="1">IF(A7&gt;Start.listina!$K$7,"",INT((A7-1)/$M$2)+1)</f>
        <v>1</v>
      </c>
      <c r="E7" s="302">
        <f ca="1">IF(A7&gt;Start.listina!$K$7,"",MIN(F7:L7))</f>
        <v>32</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999</v>
      </c>
      <c r="J7" s="2">
        <f ca="1">IF(TYPE(VLOOKUP(C7,'KO8'!$D$4:$D$17,1,0))&lt;4,8,999)</f>
        <v>999</v>
      </c>
      <c r="K7" s="2">
        <f ca="1">IF(TYPE(VLOOKUP(C7,'KO4'!$D$4:$D$9,1,0))&lt;4,4,999)</f>
        <v>999</v>
      </c>
      <c r="L7" s="2">
        <f ca="1">Start.listina!$K$7</f>
        <v>63</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PC Sokol Lipník - Froňková Blanka</v>
      </c>
      <c r="D8" s="2">
        <f ca="1">IF(A8&gt;Start.listina!$K$7,"",INT((A8-1)/$M$2)+1)</f>
        <v>1</v>
      </c>
      <c r="E8" s="302">
        <f ca="1">IF(A8&gt;Start.listina!$K$7,"",MIN(F8:L8))</f>
        <v>4</v>
      </c>
      <c r="F8" s="2">
        <f ca="1">IF(TYPE(VLOOKUP(C8,Konečné_pořadí_1_16!$B$2:$D$17,3,0))&lt;4,VLOOKUP(C8,Konečné_pořadí_1_16!$B$2:$D$17,3,0),999)</f>
        <v>4</v>
      </c>
      <c r="G8" s="2">
        <f ca="1">IF(TYPE(VLOOKUP(C8,'KO64'!$D$4:$D$129,1,0))&lt;4,64,999)</f>
        <v>64</v>
      </c>
      <c r="H8" s="2">
        <f ca="1">IF(TYPE(VLOOKUP(C8,'KO32'!$D$4:$D$65,1,0))&lt;4,32,999)</f>
        <v>32</v>
      </c>
      <c r="I8" s="2">
        <f ca="1">IF(TYPE(VLOOKUP(C8,'KO16'!$D$4:$D$33,1,0))&lt;4,16,999)</f>
        <v>16</v>
      </c>
      <c r="J8" s="2">
        <f ca="1">IF(TYPE(VLOOKUP(C8,'KO8'!$D$4:$D$17,1,0))&lt;4,8,999)</f>
        <v>8</v>
      </c>
      <c r="K8" s="2">
        <f ca="1">IF(TYPE(VLOOKUP(C8,'KO4'!$D$4:$D$9,1,0))&lt;4,4,999)</f>
        <v>4</v>
      </c>
      <c r="L8" s="2">
        <f ca="1">Start.listina!$K$7</f>
        <v>63</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CdP Loděnice - Mrázek Petr</v>
      </c>
      <c r="D9" s="2">
        <f ca="1">IF(A9&gt;Start.listina!$K$7,"",INT((A9-1)/$M$2)+1)</f>
        <v>1</v>
      </c>
      <c r="E9" s="302">
        <f ca="1">IF(A9&gt;Start.listina!$K$7,"",MIN(F9:L9))</f>
        <v>12</v>
      </c>
      <c r="F9" s="2">
        <f ca="1">IF(TYPE(VLOOKUP(C9,Konečné_pořadí_1_16!$B$2:$D$17,3,0))&lt;4,VLOOKUP(C9,Konečné_pořadí_1_16!$B$2:$D$17,3,0),999)</f>
        <v>12</v>
      </c>
      <c r="G9" s="2">
        <f ca="1">IF(TYPE(VLOOKUP(C9,'KO64'!$D$4:$D$129,1,0))&lt;4,64,999)</f>
        <v>64</v>
      </c>
      <c r="H9" s="2">
        <f ca="1">IF(TYPE(VLOOKUP(C9,'KO32'!$D$4:$D$65,1,0))&lt;4,32,999)</f>
        <v>32</v>
      </c>
      <c r="I9" s="2">
        <f ca="1">IF(TYPE(VLOOKUP(C9,'KO16'!$D$4:$D$33,1,0))&lt;4,16,999)</f>
        <v>16</v>
      </c>
      <c r="J9" s="2">
        <f ca="1">IF(TYPE(VLOOKUP(C9,'KO8'!$D$4:$D$17,1,0))&lt;4,8,999)</f>
        <v>999</v>
      </c>
      <c r="K9" s="2">
        <f ca="1">IF(TYPE(VLOOKUP(C9,'KO4'!$D$4:$D$9,1,0))&lt;4,4,999)</f>
        <v>999</v>
      </c>
      <c r="L9" s="2">
        <f ca="1">Start.listina!$K$7</f>
        <v>63</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PLUK Jablonec - Lukáš Vojtěch</v>
      </c>
      <c r="D10" s="2">
        <f ca="1">IF(A10&gt;Start.listina!$K$7,"",INT((A10-1)/$M$2)+1)</f>
        <v>1</v>
      </c>
      <c r="E10" s="302">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63</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SK Sahara Vědomice - Mikyška Milan</v>
      </c>
      <c r="D11" s="2">
        <f ca="1">IF(A11&gt;Start.listina!$K$7,"",INT((A11-1)/$M$2)+1)</f>
        <v>1</v>
      </c>
      <c r="E11" s="302">
        <f ca="1">IF(A11&gt;Start.listina!$K$7,"",MIN(F11:L11))</f>
        <v>63</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63</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SKP Kulová osma - Krejčín Leoš</v>
      </c>
      <c r="D12" s="2">
        <f ca="1">IF(A12&gt;Start.listina!$K$7,"",INT((A12-1)/$M$2)+1)</f>
        <v>1</v>
      </c>
      <c r="E12" s="302">
        <f ca="1">IF(A12&gt;Start.listina!$K$7,"",MIN(F12:L12))</f>
        <v>32</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999</v>
      </c>
      <c r="J12" s="2">
        <f ca="1">IF(TYPE(VLOOKUP(C12,'KO8'!$D$4:$D$17,1,0))&lt;4,8,999)</f>
        <v>999</v>
      </c>
      <c r="K12" s="2">
        <f ca="1">IF(TYPE(VLOOKUP(C12,'KO4'!$D$4:$D$9,1,0))&lt;4,4,999)</f>
        <v>999</v>
      </c>
      <c r="L12" s="2">
        <f ca="1">Start.listina!$K$7</f>
        <v>63</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Sokol Kostomlaty - Škorničková Jaroslava</v>
      </c>
      <c r="D13" s="2">
        <f ca="1">IF(A13&gt;Start.listina!$K$7,"",INT((A13-1)/$M$2)+1)</f>
        <v>1</v>
      </c>
      <c r="E13" s="302">
        <f ca="1">IF(A13&gt;Start.listina!$K$7,"",MIN(F13:L13))</f>
        <v>63</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63</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SKP Kulová osma - Chmelař Ivo</v>
      </c>
      <c r="D14" s="2">
        <f ca="1">IF(A14&gt;Start.listina!$K$7,"",INT((A14-1)/$M$2)+1)</f>
        <v>1</v>
      </c>
      <c r="E14" s="302">
        <f ca="1">IF(A14&gt;Start.listina!$K$7,"",MIN(F14:L14))</f>
        <v>32</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999</v>
      </c>
      <c r="J14" s="2">
        <f ca="1">IF(TYPE(VLOOKUP(C14,'KO8'!$D$4:$D$17,1,0))&lt;4,8,999)</f>
        <v>999</v>
      </c>
      <c r="K14" s="2">
        <f ca="1">IF(TYPE(VLOOKUP(C14,'KO4'!$D$4:$D$9,1,0))&lt;4,4,999)</f>
        <v>999</v>
      </c>
      <c r="L14" s="2">
        <f ca="1">Start.listina!$K$7</f>
        <v>63</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PC Kolová - Plucar Petr</v>
      </c>
      <c r="D15" s="2">
        <f ca="1">IF(A15&gt;Start.listina!$K$7,"",INT((A15-1)/$M$2)+1)</f>
        <v>1</v>
      </c>
      <c r="E15" s="302">
        <f ca="1">IF(A15&gt;Start.listina!$K$7,"",MIN(F15:L15))</f>
        <v>3</v>
      </c>
      <c r="F15" s="2">
        <f ca="1">IF(TYPE(VLOOKUP(C15,Konečné_pořadí_1_16!$B$2:$D$17,3,0))&lt;4,VLOOKUP(C15,Konečné_pořadí_1_16!$B$2:$D$17,3,0),999)</f>
        <v>3</v>
      </c>
      <c r="G15" s="2">
        <f ca="1">IF(TYPE(VLOOKUP(C15,'KO64'!$D$4:$D$129,1,0))&lt;4,64,999)</f>
        <v>64</v>
      </c>
      <c r="H15" s="2">
        <f ca="1">IF(TYPE(VLOOKUP(C15,'KO32'!$D$4:$D$65,1,0))&lt;4,32,999)</f>
        <v>32</v>
      </c>
      <c r="I15" s="2">
        <f ca="1">IF(TYPE(VLOOKUP(C15,'KO16'!$D$4:$D$33,1,0))&lt;4,16,999)</f>
        <v>16</v>
      </c>
      <c r="J15" s="2">
        <f ca="1">IF(TYPE(VLOOKUP(C15,'KO8'!$D$4:$D$17,1,0))&lt;4,8,999)</f>
        <v>8</v>
      </c>
      <c r="K15" s="2">
        <f ca="1">IF(TYPE(VLOOKUP(C15,'KO4'!$D$4:$D$9,1,0))&lt;4,4,999)</f>
        <v>4</v>
      </c>
      <c r="L15" s="2">
        <f ca="1">Start.listina!$K$7</f>
        <v>63</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Petank Club Praha - Vorel Jan</v>
      </c>
      <c r="D16" s="2">
        <f ca="1">IF(A16&gt;Start.listina!$K$7,"",INT((A16-1)/$M$2)+1)</f>
        <v>1</v>
      </c>
      <c r="E16" s="302">
        <f ca="1">IF(A16&gt;Start.listina!$K$7,"",MIN(F16:L16))</f>
        <v>6</v>
      </c>
      <c r="F16" s="2">
        <f ca="1">IF(TYPE(VLOOKUP(C16,Konečné_pořadí_1_16!$B$2:$D$17,3,0))&lt;4,VLOOKUP(C16,Konečné_pořadí_1_16!$B$2:$D$17,3,0),999)</f>
        <v>6</v>
      </c>
      <c r="G16" s="2">
        <f ca="1">IF(TYPE(VLOOKUP(C16,'KO64'!$D$4:$D$129,1,0))&lt;4,64,999)</f>
        <v>64</v>
      </c>
      <c r="H16" s="2">
        <f ca="1">IF(TYPE(VLOOKUP(C16,'KO32'!$D$4:$D$65,1,0))&lt;4,32,999)</f>
        <v>32</v>
      </c>
      <c r="I16" s="2">
        <f ca="1">IF(TYPE(VLOOKUP(C16,'KO16'!$D$4:$D$33,1,0))&lt;4,16,999)</f>
        <v>16</v>
      </c>
      <c r="J16" s="2">
        <f ca="1">IF(TYPE(VLOOKUP(C16,'KO8'!$D$4:$D$17,1,0))&lt;4,8,999)</f>
        <v>8</v>
      </c>
      <c r="K16" s="2">
        <f ca="1">IF(TYPE(VLOOKUP(C16,'KO4'!$D$4:$D$9,1,0))&lt;4,4,999)</f>
        <v>999</v>
      </c>
      <c r="L16" s="2">
        <f ca="1">Start.listina!$K$7</f>
        <v>63</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Sokol Kostomlaty - Vyoral Hynek</v>
      </c>
      <c r="D17" s="2">
        <f ca="1">IF(A17&gt;Start.listina!$K$7,"",INT((A17-1)/$M$2)+1)</f>
        <v>1</v>
      </c>
      <c r="E17" s="302">
        <f ca="1">IF(A17&gt;Start.listina!$K$7,"",MIN(F17:L17))</f>
        <v>1</v>
      </c>
      <c r="F17" s="2">
        <f ca="1">IF(TYPE(VLOOKUP(C17,Konečné_pořadí_1_16!$B$2:$D$17,3,0))&lt;4,VLOOKUP(C17,Konečné_pořadí_1_16!$B$2:$D$17,3,0),999)</f>
        <v>1</v>
      </c>
      <c r="G17" s="2">
        <f ca="1">IF(TYPE(VLOOKUP(C17,'KO64'!$D$4:$D$129,1,0))&lt;4,64,999)</f>
        <v>64</v>
      </c>
      <c r="H17" s="2">
        <f ca="1">IF(TYPE(VLOOKUP(C17,'KO32'!$D$4:$D$65,1,0))&lt;4,32,999)</f>
        <v>32</v>
      </c>
      <c r="I17" s="2">
        <f ca="1">IF(TYPE(VLOOKUP(C17,'KO16'!$D$4:$D$33,1,0))&lt;4,16,999)</f>
        <v>16</v>
      </c>
      <c r="J17" s="2">
        <f ca="1">IF(TYPE(VLOOKUP(C17,'KO8'!$D$4:$D$17,1,0))&lt;4,8,999)</f>
        <v>8</v>
      </c>
      <c r="K17" s="2">
        <f ca="1">IF(TYPE(VLOOKUP(C17,'KO4'!$D$4:$D$9,1,0))&lt;4,4,999)</f>
        <v>4</v>
      </c>
      <c r="L17" s="2">
        <f ca="1">Start.listina!$K$7</f>
        <v>63</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1. KPK Vrchlabí - Mašek Pavel</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63</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PC Sokol Lipník - Gorroňo López Blanka</v>
      </c>
      <c r="D19" s="2">
        <f ca="1">IF(A19&gt;Start.listina!$K$7,"",INT((A19-1)/$M$2)+1)</f>
        <v>1</v>
      </c>
      <c r="E19" s="302">
        <f ca="1">IF(A19&gt;Start.listina!$K$7,"",MIN(F19:L19))</f>
        <v>63</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63</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PCP Lipník - Proroková Dana</v>
      </c>
      <c r="D20" s="2">
        <f ca="1">IF(A20&gt;Start.listina!$K$7,"",INT((A20-1)/$M$2)+1)</f>
        <v>1</v>
      </c>
      <c r="E20" s="302">
        <f ca="1">IF(A20&gt;Start.listina!$K$7,"",MIN(F20:L20))</f>
        <v>63</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63</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R2</v>
      </c>
      <c r="C21" s="11" t="str">
        <f ca="1">Start.listina!$AL29</f>
        <v>19 PC Sokol Lipník - Chalupa Jiří</v>
      </c>
      <c r="D21" s="2">
        <f ca="1">IF(A21&gt;Start.listina!$K$7,"",INT((A21-1)/$M$2)+1)</f>
        <v>2</v>
      </c>
      <c r="E21" s="302">
        <f ca="1">IF(A21&gt;Start.listina!$K$7,"",MIN(F21:L21))</f>
        <v>63</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63</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Q2</v>
      </c>
      <c r="C22" s="11" t="str">
        <f ca="1">Start.listina!$AL30</f>
        <v>20 Club Rodamiento - Dlouhá Ivana</v>
      </c>
      <c r="D22" s="2">
        <f ca="1">IF(A22&gt;Start.listina!$K$7,"",INT((A22-1)/$M$2)+1)</f>
        <v>2</v>
      </c>
      <c r="E22" s="302">
        <f ca="1">IF(A22&gt;Start.listina!$K$7,"",MIN(F22:L22))</f>
        <v>10</v>
      </c>
      <c r="F22" s="2">
        <f ca="1">IF(TYPE(VLOOKUP(C22,Konečné_pořadí_1_16!$B$2:$D$17,3,0))&lt;4,VLOOKUP(C22,Konečné_pořadí_1_16!$B$2:$D$17,3,0),999)</f>
        <v>10</v>
      </c>
      <c r="G22" s="2">
        <f ca="1">IF(TYPE(VLOOKUP(C22,'KO64'!$D$4:$D$129,1,0))&lt;4,64,999)</f>
        <v>64</v>
      </c>
      <c r="H22" s="2">
        <f ca="1">IF(TYPE(VLOOKUP(C22,'KO32'!$D$4:$D$65,1,0))&lt;4,32,999)</f>
        <v>32</v>
      </c>
      <c r="I22" s="2">
        <f ca="1">IF(TYPE(VLOOKUP(C22,'KO16'!$D$4:$D$33,1,0))&lt;4,16,999)</f>
        <v>16</v>
      </c>
      <c r="J22" s="2">
        <f ca="1">IF(TYPE(VLOOKUP(C22,'KO8'!$D$4:$D$17,1,0))&lt;4,8,999)</f>
        <v>999</v>
      </c>
      <c r="K22" s="2">
        <f ca="1">IF(TYPE(VLOOKUP(C22,'KO4'!$D$4:$D$9,1,0))&lt;4,4,999)</f>
        <v>999</v>
      </c>
      <c r="L22" s="2">
        <f ca="1">Start.listina!$K$7</f>
        <v>63</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P2</v>
      </c>
      <c r="C23" s="11" t="str">
        <f ca="1">Start.listina!$AL31</f>
        <v>21 Sokol Kostomlaty - Vaníček Rudolf</v>
      </c>
      <c r="D23" s="2">
        <f ca="1">IF(A23&gt;Start.listina!$K$7,"",INT((A23-1)/$M$2)+1)</f>
        <v>2</v>
      </c>
      <c r="E23" s="302">
        <f ca="1">IF(A23&gt;Start.listina!$K$7,"",MIN(F23:L23))</f>
        <v>63</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63</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O2</v>
      </c>
      <c r="C24" s="11" t="str">
        <f ca="1">Start.listina!$AL32</f>
        <v>22 SKP Kulová osma - Zátka Miloslav</v>
      </c>
      <c r="D24" s="2">
        <f ca="1">IF(A24&gt;Start.listina!$K$7,"",INT((A24-1)/$M$2)+1)</f>
        <v>2</v>
      </c>
      <c r="E24" s="302">
        <f ca="1">IF(A24&gt;Start.listina!$K$7,"",MIN(F24:L24))</f>
        <v>11</v>
      </c>
      <c r="F24" s="2">
        <f ca="1">IF(TYPE(VLOOKUP(C24,Konečné_pořadí_1_16!$B$2:$D$17,3,0))&lt;4,VLOOKUP(C24,Konečné_pořadí_1_16!$B$2:$D$17,3,0),999)</f>
        <v>11</v>
      </c>
      <c r="G24" s="2">
        <f ca="1">IF(TYPE(VLOOKUP(C24,'KO64'!$D$4:$D$129,1,0))&lt;4,64,999)</f>
        <v>64</v>
      </c>
      <c r="H24" s="2">
        <f ca="1">IF(TYPE(VLOOKUP(C24,'KO32'!$D$4:$D$65,1,0))&lt;4,32,999)</f>
        <v>32</v>
      </c>
      <c r="I24" s="2">
        <f ca="1">IF(TYPE(VLOOKUP(C24,'KO16'!$D$4:$D$33,1,0))&lt;4,16,999)</f>
        <v>16</v>
      </c>
      <c r="J24" s="2">
        <f ca="1">IF(TYPE(VLOOKUP(C24,'KO8'!$D$4:$D$17,1,0))&lt;4,8,999)</f>
        <v>999</v>
      </c>
      <c r="K24" s="2">
        <f ca="1">IF(TYPE(VLOOKUP(C24,'KO4'!$D$4:$D$9,1,0))&lt;4,4,999)</f>
        <v>999</v>
      </c>
      <c r="L24" s="2">
        <f ca="1">Start.listina!$K$7</f>
        <v>63</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N2</v>
      </c>
      <c r="C25" s="11" t="str">
        <f ca="1">Start.listina!$AL33</f>
        <v>23 Club Rodamiento - Sjögren Magda</v>
      </c>
      <c r="D25" s="2">
        <f ca="1">IF(A25&gt;Start.listina!$K$7,"",INT((A25-1)/$M$2)+1)</f>
        <v>2</v>
      </c>
      <c r="E25" s="302">
        <f ca="1">IF(A25&gt;Start.listina!$K$7,"",MIN(F25:L25))</f>
        <v>32</v>
      </c>
      <c r="F25" s="2">
        <f ca="1">IF(TYPE(VLOOKUP(C25,Konečné_pořadí_1_16!$B$2:$D$17,3,0))&lt;4,VLOOKUP(C25,Konečné_pořadí_1_16!$B$2:$D$17,3,0),999)</f>
        <v>999</v>
      </c>
      <c r="G25" s="2">
        <f ca="1">IF(TYPE(VLOOKUP(C25,'KO64'!$D$4:$D$129,1,0))&lt;4,64,999)</f>
        <v>64</v>
      </c>
      <c r="H25" s="2">
        <f ca="1">IF(TYPE(VLOOKUP(C25,'KO32'!$D$4:$D$65,1,0))&lt;4,32,999)</f>
        <v>32</v>
      </c>
      <c r="I25" s="2">
        <f ca="1">IF(TYPE(VLOOKUP(C25,'KO16'!$D$4:$D$33,1,0))&lt;4,16,999)</f>
        <v>999</v>
      </c>
      <c r="J25" s="2">
        <f ca="1">IF(TYPE(VLOOKUP(C25,'KO8'!$D$4:$D$17,1,0))&lt;4,8,999)</f>
        <v>999</v>
      </c>
      <c r="K25" s="2">
        <f ca="1">IF(TYPE(VLOOKUP(C25,'KO4'!$D$4:$D$9,1,0))&lt;4,4,999)</f>
        <v>999</v>
      </c>
      <c r="L25" s="2">
        <f ca="1">Start.listina!$K$7</f>
        <v>63</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M2</v>
      </c>
      <c r="C26" s="11" t="str">
        <f ca="1">Start.listina!$AL34</f>
        <v>24 PK Osika Plzeň - Jirkovský Tomáš</v>
      </c>
      <c r="D26" s="2">
        <f ca="1">IF(A26&gt;Start.listina!$K$7,"",INT((A26-1)/$M$2)+1)</f>
        <v>2</v>
      </c>
      <c r="E26" s="302">
        <f ca="1">IF(A26&gt;Start.listina!$K$7,"",MIN(F26:L26))</f>
        <v>7</v>
      </c>
      <c r="F26" s="2">
        <f ca="1">IF(TYPE(VLOOKUP(C26,Konečné_pořadí_1_16!$B$2:$D$17,3,0))&lt;4,VLOOKUP(C26,Konečné_pořadí_1_16!$B$2:$D$17,3,0),999)</f>
        <v>7</v>
      </c>
      <c r="G26" s="2">
        <f ca="1">IF(TYPE(VLOOKUP(C26,'KO64'!$D$4:$D$129,1,0))&lt;4,64,999)</f>
        <v>64</v>
      </c>
      <c r="H26" s="2">
        <f ca="1">IF(TYPE(VLOOKUP(C26,'KO32'!$D$4:$D$65,1,0))&lt;4,32,999)</f>
        <v>32</v>
      </c>
      <c r="I26" s="2">
        <f ca="1">IF(TYPE(VLOOKUP(C26,'KO16'!$D$4:$D$33,1,0))&lt;4,16,999)</f>
        <v>16</v>
      </c>
      <c r="J26" s="2">
        <f ca="1">IF(TYPE(VLOOKUP(C26,'KO8'!$D$4:$D$17,1,0))&lt;4,8,999)</f>
        <v>8</v>
      </c>
      <c r="K26" s="2">
        <f ca="1">IF(TYPE(VLOOKUP(C26,'KO4'!$D$4:$D$9,1,0))&lt;4,4,999)</f>
        <v>999</v>
      </c>
      <c r="L26" s="2">
        <f ca="1">Start.listina!$K$7</f>
        <v>63</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L2</v>
      </c>
      <c r="C27" s="11" t="str">
        <f ca="1">Start.listina!$AL35</f>
        <v>25 PC Sokol Lipník - Mazúr Pavel</v>
      </c>
      <c r="D27" s="2">
        <f ca="1">IF(A27&gt;Start.listina!$K$7,"",INT((A27-1)/$M$2)+1)</f>
        <v>2</v>
      </c>
      <c r="E27" s="302">
        <f ca="1">IF(A27&gt;Start.listina!$K$7,"",MIN(F27:L27))</f>
        <v>32</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999</v>
      </c>
      <c r="J27" s="2">
        <f ca="1">IF(TYPE(VLOOKUP(C27,'KO8'!$D$4:$D$17,1,0))&lt;4,8,999)</f>
        <v>999</v>
      </c>
      <c r="K27" s="2">
        <f ca="1">IF(TYPE(VLOOKUP(C27,'KO4'!$D$4:$D$9,1,0))&lt;4,4,999)</f>
        <v>999</v>
      </c>
      <c r="L27" s="2">
        <f ca="1">Start.listina!$K$7</f>
        <v>63</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K2</v>
      </c>
      <c r="C28" s="11" t="str">
        <f ca="1">Start.listina!$AL36</f>
        <v>26 CdP Loděnice - Nagy Radim</v>
      </c>
      <c r="D28" s="2">
        <f ca="1">IF(A28&gt;Start.listina!$K$7,"",INT((A28-1)/$M$2)+1)</f>
        <v>2</v>
      </c>
      <c r="E28" s="302">
        <f ca="1">IF(A28&gt;Start.listina!$K$7,"",MIN(F28:L28))</f>
        <v>63</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63</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J2</v>
      </c>
      <c r="C29" s="11" t="str">
        <f ca="1">Start.listina!$AL37</f>
        <v>27 PK Osika Plzeň - Mráz Václav</v>
      </c>
      <c r="D29" s="2">
        <f ca="1">IF(A29&gt;Start.listina!$K$7,"",INT((A29-1)/$M$2)+1)</f>
        <v>2</v>
      </c>
      <c r="E29" s="302">
        <f ca="1">IF(A29&gt;Start.listina!$K$7,"",MIN(F29:L29))</f>
        <v>32</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999</v>
      </c>
      <c r="J29" s="2">
        <f ca="1">IF(TYPE(VLOOKUP(C29,'KO8'!$D$4:$D$17,1,0))&lt;4,8,999)</f>
        <v>999</v>
      </c>
      <c r="K29" s="2">
        <f ca="1">IF(TYPE(VLOOKUP(C29,'KO4'!$D$4:$D$9,1,0))&lt;4,4,999)</f>
        <v>999</v>
      </c>
      <c r="L29" s="2">
        <f ca="1">Start.listina!$K$7</f>
        <v>63</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I2</v>
      </c>
      <c r="C30" s="11" t="str">
        <f ca="1">Start.listina!$AL38</f>
        <v>28 UBU Únětice - Kot Pavel</v>
      </c>
      <c r="D30" s="2">
        <f ca="1">IF(A30&gt;Start.listina!$K$7,"",INT((A30-1)/$M$2)+1)</f>
        <v>2</v>
      </c>
      <c r="E30" s="302">
        <f ca="1">IF(A30&gt;Start.listina!$K$7,"",MIN(F30:L30))</f>
        <v>8</v>
      </c>
      <c r="F30" s="2">
        <f ca="1">IF(TYPE(VLOOKUP(C30,Konečné_pořadí_1_16!$B$2:$D$17,3,0))&lt;4,VLOOKUP(C30,Konečné_pořadí_1_16!$B$2:$D$17,3,0),999)</f>
        <v>8</v>
      </c>
      <c r="G30" s="2">
        <f ca="1">IF(TYPE(VLOOKUP(C30,'KO64'!$D$4:$D$129,1,0))&lt;4,64,999)</f>
        <v>64</v>
      </c>
      <c r="H30" s="2">
        <f ca="1">IF(TYPE(VLOOKUP(C30,'KO32'!$D$4:$D$65,1,0))&lt;4,32,999)</f>
        <v>32</v>
      </c>
      <c r="I30" s="2">
        <f ca="1">IF(TYPE(VLOOKUP(C30,'KO16'!$D$4:$D$33,1,0))&lt;4,16,999)</f>
        <v>16</v>
      </c>
      <c r="J30" s="2">
        <f ca="1">IF(TYPE(VLOOKUP(C30,'KO8'!$D$4:$D$17,1,0))&lt;4,8,999)</f>
        <v>8</v>
      </c>
      <c r="K30" s="2">
        <f ca="1">IF(TYPE(VLOOKUP(C30,'KO4'!$D$4:$D$9,1,0))&lt;4,4,999)</f>
        <v>999</v>
      </c>
      <c r="L30" s="2">
        <f ca="1">Start.listina!$K$7</f>
        <v>63</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H2</v>
      </c>
      <c r="C31" s="11" t="str">
        <f ca="1">Start.listina!$AL39</f>
        <v>29 SK Sahara Vědomice - Gröschl Zdeněk</v>
      </c>
      <c r="D31" s="2">
        <f ca="1">IF(A31&gt;Start.listina!$K$7,"",INT((A31-1)/$M$2)+1)</f>
        <v>2</v>
      </c>
      <c r="E31" s="302">
        <f ca="1">IF(A31&gt;Start.listina!$K$7,"",MIN(F31:L31))</f>
        <v>63</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63</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G2</v>
      </c>
      <c r="C32" s="11" t="str">
        <f ca="1">Start.listina!$AL40</f>
        <v>30 SK Španielka Řepy - Holoubek Pavel</v>
      </c>
      <c r="D32" s="2">
        <f ca="1">IF(A32&gt;Start.listina!$K$7,"",INT((A32-1)/$M$2)+1)</f>
        <v>2</v>
      </c>
      <c r="E32" s="302">
        <f ca="1">IF(A32&gt;Start.listina!$K$7,"",MIN(F32:L32))</f>
        <v>63</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63</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F2</v>
      </c>
      <c r="C33" s="11" t="str">
        <f ca="1">Start.listina!$AL41</f>
        <v>31 SKP Kulová osma - Lhoták Jaroslav</v>
      </c>
      <c r="D33" s="2">
        <f ca="1">IF(A33&gt;Start.listina!$K$7,"",INT((A33-1)/$M$2)+1)</f>
        <v>2</v>
      </c>
      <c r="E33" s="302">
        <f ca="1">IF(A33&gt;Start.listina!$K$7,"",MIN(F33:L33))</f>
        <v>63</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63</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E2</v>
      </c>
      <c r="C34" s="11" t="str">
        <f ca="1">Start.listina!$AL42</f>
        <v>32 PK Osika Plzeň - Radoušová Jana</v>
      </c>
      <c r="D34" s="2">
        <f ca="1">IF(A34&gt;Start.listina!$K$7,"",INT((A34-1)/$M$2)+1)</f>
        <v>2</v>
      </c>
      <c r="E34" s="302">
        <f ca="1">IF(A34&gt;Start.listina!$K$7,"",MIN(F34:L34))</f>
        <v>5</v>
      </c>
      <c r="F34" s="2">
        <f ca="1">IF(TYPE(VLOOKUP(C34,Konečné_pořadí_1_16!$B$2:$D$17,3,0))&lt;4,VLOOKUP(C34,Konečné_pořadí_1_16!$B$2:$D$17,3,0),999)</f>
        <v>5</v>
      </c>
      <c r="G34" s="2">
        <f ca="1">IF(TYPE(VLOOKUP(C34,'KO64'!$D$4:$D$129,1,0))&lt;4,64,999)</f>
        <v>64</v>
      </c>
      <c r="H34" s="2">
        <f ca="1">IF(TYPE(VLOOKUP(C34,'KO32'!$D$4:$D$65,1,0))&lt;4,32,999)</f>
        <v>32</v>
      </c>
      <c r="I34" s="2">
        <f ca="1">IF(TYPE(VLOOKUP(C34,'KO16'!$D$4:$D$33,1,0))&lt;4,16,999)</f>
        <v>16</v>
      </c>
      <c r="J34" s="2">
        <f ca="1">IF(TYPE(VLOOKUP(C34,'KO8'!$D$4:$D$17,1,0))&lt;4,8,999)</f>
        <v>8</v>
      </c>
      <c r="K34" s="2">
        <f ca="1">IF(TYPE(VLOOKUP(C34,'KO4'!$D$4:$D$9,1,0))&lt;4,4,999)</f>
        <v>999</v>
      </c>
      <c r="L34" s="2">
        <f ca="1">Start.listina!$K$7</f>
        <v>63</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D2</v>
      </c>
      <c r="C35" s="11" t="str">
        <f ca="1">Start.listina!$AL43</f>
        <v>33 PEK Stolín - Hájková Iveta</v>
      </c>
      <c r="D35" s="2">
        <f ca="1">IF(A35&gt;Start.listina!$K$7,"",INT((A35-1)/$M$2)+1)</f>
        <v>2</v>
      </c>
      <c r="E35" s="302">
        <f ca="1">IF(A35&gt;Start.listina!$K$7,"",MIN(F35:L35))</f>
        <v>63</v>
      </c>
      <c r="F35" s="2">
        <f ca="1">IF(TYPE(VLOOKUP(C35,Konečné_pořadí_1_16!$B$2:$D$17,3,0))&lt;4,VLOOKUP(C35,Konečné_pořadí_1_16!$B$2:$D$17,3,0),999)</f>
        <v>999</v>
      </c>
      <c r="G35" s="2">
        <f ca="1">IF(TYPE(VLOOKUP(C35,'KO64'!$D$4:$D$129,1,0))&lt;4,64,999)</f>
        <v>64</v>
      </c>
      <c r="H35" s="2">
        <f ca="1">IF(TYPE(VLOOKUP(C35,'KO32'!$D$4:$D$65,1,0))&lt;4,32,999)</f>
        <v>999</v>
      </c>
      <c r="I35" s="2">
        <f ca="1">IF(TYPE(VLOOKUP(C35,'KO16'!$D$4:$D$33,1,0))&lt;4,16,999)</f>
        <v>999</v>
      </c>
      <c r="J35" s="2">
        <f ca="1">IF(TYPE(VLOOKUP(C35,'KO8'!$D$4:$D$17,1,0))&lt;4,8,999)</f>
        <v>999</v>
      </c>
      <c r="K35" s="2">
        <f ca="1">IF(TYPE(VLOOKUP(C35,'KO4'!$D$4:$D$9,1,0))&lt;4,4,999)</f>
        <v>999</v>
      </c>
      <c r="L35" s="2">
        <f ca="1">Start.listina!$K$7</f>
        <v>63</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C2</v>
      </c>
      <c r="C36" s="11" t="str">
        <f ca="1">Start.listina!$AL44</f>
        <v>34 PK Osika Plzeň - Špitálský Milan</v>
      </c>
      <c r="D36" s="2">
        <f ca="1">IF(A36&gt;Start.listina!$K$7,"",INT((A36-1)/$M$2)+1)</f>
        <v>2</v>
      </c>
      <c r="E36" s="302">
        <f ca="1">IF(A36&gt;Start.listina!$K$7,"",MIN(F36:L36))</f>
        <v>9</v>
      </c>
      <c r="F36" s="2">
        <f ca="1">IF(TYPE(VLOOKUP(C36,Konečné_pořadí_1_16!$B$2:$D$17,3,0))&lt;4,VLOOKUP(C36,Konečné_pořadí_1_16!$B$2:$D$17,3,0),999)</f>
        <v>9</v>
      </c>
      <c r="G36" s="2">
        <f ca="1">IF(TYPE(VLOOKUP(C36,'KO64'!$D$4:$D$129,1,0))&lt;4,64,999)</f>
        <v>64</v>
      </c>
      <c r="H36" s="2">
        <f ca="1">IF(TYPE(VLOOKUP(C36,'KO32'!$D$4:$D$65,1,0))&lt;4,32,999)</f>
        <v>32</v>
      </c>
      <c r="I36" s="2">
        <f ca="1">IF(TYPE(VLOOKUP(C36,'KO16'!$D$4:$D$33,1,0))&lt;4,16,999)</f>
        <v>16</v>
      </c>
      <c r="J36" s="2">
        <f ca="1">IF(TYPE(VLOOKUP(C36,'KO8'!$D$4:$D$17,1,0))&lt;4,8,999)</f>
        <v>999</v>
      </c>
      <c r="K36" s="2">
        <f ca="1">IF(TYPE(VLOOKUP(C36,'KO4'!$D$4:$D$9,1,0))&lt;4,4,999)</f>
        <v>999</v>
      </c>
      <c r="L36" s="2">
        <f ca="1">Start.listina!$K$7</f>
        <v>63</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B2</v>
      </c>
      <c r="C37" s="11" t="str">
        <f ca="1">Start.listina!$AL45</f>
        <v>35 SKP Kulová osma - Slapnička Václav</v>
      </c>
      <c r="D37" s="2">
        <f ca="1">IF(A37&gt;Start.listina!$K$7,"",INT((A37-1)/$M$2)+1)</f>
        <v>2</v>
      </c>
      <c r="E37" s="302">
        <f ca="1">IF(A37&gt;Start.listina!$K$7,"",MIN(F37:L37))</f>
        <v>63</v>
      </c>
      <c r="F37" s="2">
        <f ca="1">IF(TYPE(VLOOKUP(C37,Konečné_pořadí_1_16!$B$2:$D$17,3,0))&lt;4,VLOOKUP(C37,Konečné_pořadí_1_16!$B$2:$D$17,3,0),999)</f>
        <v>999</v>
      </c>
      <c r="G37" s="2">
        <f ca="1">IF(TYPE(VLOOKUP(C37,'KO64'!$D$4:$D$129,1,0))&lt;4,64,999)</f>
        <v>64</v>
      </c>
      <c r="H37" s="2">
        <f ca="1">IF(TYPE(VLOOKUP(C37,'KO32'!$D$4:$D$65,1,0))&lt;4,32,999)</f>
        <v>999</v>
      </c>
      <c r="I37" s="2">
        <f ca="1">IF(TYPE(VLOOKUP(C37,'KO16'!$D$4:$D$33,1,0))&lt;4,16,999)</f>
        <v>999</v>
      </c>
      <c r="J37" s="2">
        <f ca="1">IF(TYPE(VLOOKUP(C37,'KO8'!$D$4:$D$17,1,0))&lt;4,8,999)</f>
        <v>999</v>
      </c>
      <c r="K37" s="2">
        <f ca="1">IF(TYPE(VLOOKUP(C37,'KO4'!$D$4:$D$9,1,0))&lt;4,4,999)</f>
        <v>999</v>
      </c>
      <c r="L37" s="2">
        <f ca="1">Start.listina!$K$7</f>
        <v>63</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A2</v>
      </c>
      <c r="C38" s="11" t="str">
        <f ca="1">Start.listina!$AL46</f>
        <v>36 SK Sahara Vědomice - Červenková Andrea</v>
      </c>
      <c r="D38" s="2">
        <f ca="1">IF(A38&gt;Start.listina!$K$7,"",INT((A38-1)/$M$2)+1)</f>
        <v>2</v>
      </c>
      <c r="E38" s="302">
        <f ca="1">IF(A38&gt;Start.listina!$K$7,"",MIN(F38:L38))</f>
        <v>63</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63</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A3</v>
      </c>
      <c r="C39" s="11" t="str">
        <f ca="1">Start.listina!$AL47</f>
        <v>37 PEK Stolín - Mallat Oldřich</v>
      </c>
      <c r="D39" s="2">
        <f ca="1">IF(A39&gt;Start.listina!$K$7,"",INT((A39-1)/$M$2)+1)</f>
        <v>3</v>
      </c>
      <c r="E39" s="302">
        <f ca="1">IF(A39&gt;Start.listina!$K$7,"",MIN(F39:L39))</f>
        <v>63</v>
      </c>
      <c r="F39" s="2">
        <f ca="1">IF(TYPE(VLOOKUP(C39,Konečné_pořadí_1_16!$B$2:$D$17,3,0))&lt;4,VLOOKUP(C39,Konečné_pořadí_1_16!$B$2:$D$17,3,0),999)</f>
        <v>999</v>
      </c>
      <c r="G39" s="2">
        <f ca="1">IF(TYPE(VLOOKUP(C39,'KO64'!$D$4:$D$129,1,0))&lt;4,64,999)</f>
        <v>64</v>
      </c>
      <c r="H39" s="2">
        <f ca="1">IF(TYPE(VLOOKUP(C39,'KO32'!$D$4:$D$65,1,0))&lt;4,32,999)</f>
        <v>999</v>
      </c>
      <c r="I39" s="2">
        <f ca="1">IF(TYPE(VLOOKUP(C39,'KO16'!$D$4:$D$33,1,0))&lt;4,16,999)</f>
        <v>999</v>
      </c>
      <c r="J39" s="2">
        <f ca="1">IF(TYPE(VLOOKUP(C39,'KO8'!$D$4:$D$17,1,0))&lt;4,8,999)</f>
        <v>999</v>
      </c>
      <c r="K39" s="2">
        <f ca="1">IF(TYPE(VLOOKUP(C39,'KO4'!$D$4:$D$9,1,0))&lt;4,4,999)</f>
        <v>999</v>
      </c>
      <c r="L39" s="2">
        <f ca="1">Start.listina!$K$7</f>
        <v>63</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B3</v>
      </c>
      <c r="C40" s="11" t="str">
        <f ca="1">Start.listina!$AL48</f>
        <v>38 Sokol Kostomlaty - Hercoková Milena</v>
      </c>
      <c r="D40" s="2">
        <f ca="1">IF(A40&gt;Start.listina!$K$7,"",INT((A40-1)/$M$2)+1)</f>
        <v>3</v>
      </c>
      <c r="E40" s="302">
        <f ca="1">IF(A40&gt;Start.listina!$K$7,"",MIN(F40:L40))</f>
        <v>63</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63</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C3</v>
      </c>
      <c r="C41" s="11" t="str">
        <f ca="1">Start.listina!$AL49</f>
        <v>39 SK Sahara Vědomice - Hocková Kateřina</v>
      </c>
      <c r="D41" s="2">
        <f ca="1">IF(A41&gt;Start.listina!$K$7,"",INT((A41-1)/$M$2)+1)</f>
        <v>3</v>
      </c>
      <c r="E41" s="302">
        <f ca="1">IF(A41&gt;Start.listina!$K$7,"",MIN(F41:L41))</f>
        <v>63</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63</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D3</v>
      </c>
      <c r="C42" s="11" t="str">
        <f ca="1">Start.listina!$AL50</f>
        <v>40 Club Rodamiento - Pinkasová Marie</v>
      </c>
      <c r="D42" s="2">
        <f ca="1">IF(A42&gt;Start.listina!$K$7,"",INT((A42-1)/$M$2)+1)</f>
        <v>3</v>
      </c>
      <c r="E42" s="302">
        <f ca="1">IF(A42&gt;Start.listina!$K$7,"",MIN(F42:L42))</f>
        <v>63</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63</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E3</v>
      </c>
      <c r="C43" s="11" t="str">
        <f ca="1">Start.listina!$AL51</f>
        <v>41 C.T.P. Club Ořech - Leiský Leander</v>
      </c>
      <c r="D43" s="2">
        <f ca="1">IF(A43&gt;Start.listina!$K$7,"",INT((A43-1)/$M$2)+1)</f>
        <v>3</v>
      </c>
      <c r="E43" s="302">
        <f ca="1">IF(A43&gt;Start.listina!$K$7,"",MIN(F43:L43))</f>
        <v>63</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63</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F3</v>
      </c>
      <c r="C44" s="11" t="str">
        <f ca="1">Start.listina!$AL52</f>
        <v>42 SK Španielka Řepy - Pastorek Jaroslav</v>
      </c>
      <c r="D44" s="2">
        <f ca="1">IF(A44&gt;Start.listina!$K$7,"",INT((A44-1)/$M$2)+1)</f>
        <v>3</v>
      </c>
      <c r="E44" s="302">
        <f ca="1">IF(A44&gt;Start.listina!$K$7,"",MIN(F44:L44))</f>
        <v>63</v>
      </c>
      <c r="F44" s="2">
        <f ca="1">IF(TYPE(VLOOKUP(C44,Konečné_pořadí_1_16!$B$2:$D$17,3,0))&lt;4,VLOOKUP(C44,Konečné_pořadí_1_16!$B$2:$D$17,3,0),999)</f>
        <v>999</v>
      </c>
      <c r="G44" s="2">
        <f ca="1">IF(TYPE(VLOOKUP(C44,'KO64'!$D$4:$D$129,1,0))&lt;4,64,999)</f>
        <v>64</v>
      </c>
      <c r="H44" s="2">
        <f ca="1">IF(TYPE(VLOOKUP(C44,'KO32'!$D$4:$D$65,1,0))&lt;4,32,999)</f>
        <v>999</v>
      </c>
      <c r="I44" s="2">
        <f ca="1">IF(TYPE(VLOOKUP(C44,'KO16'!$D$4:$D$33,1,0))&lt;4,16,999)</f>
        <v>999</v>
      </c>
      <c r="J44" s="2">
        <f ca="1">IF(TYPE(VLOOKUP(C44,'KO8'!$D$4:$D$17,1,0))&lt;4,8,999)</f>
        <v>999</v>
      </c>
      <c r="K44" s="2">
        <f ca="1">IF(TYPE(VLOOKUP(C44,'KO4'!$D$4:$D$9,1,0))&lt;4,4,999)</f>
        <v>999</v>
      </c>
      <c r="L44" s="2">
        <f ca="1">Start.listina!$K$7</f>
        <v>63</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G3</v>
      </c>
      <c r="C45" s="11" t="str">
        <f ca="1">Start.listina!$AL53</f>
        <v>43 SK Španielka Řepy - Řezník Alois</v>
      </c>
      <c r="D45" s="2">
        <f ca="1">IF(A45&gt;Start.listina!$K$7,"",INT((A45-1)/$M$2)+1)</f>
        <v>3</v>
      </c>
      <c r="E45" s="302">
        <f ca="1">IF(A45&gt;Start.listina!$K$7,"",MIN(F45:L45))</f>
        <v>32</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999</v>
      </c>
      <c r="J45" s="2">
        <f ca="1">IF(TYPE(VLOOKUP(C45,'KO8'!$D$4:$D$17,1,0))&lt;4,8,999)</f>
        <v>999</v>
      </c>
      <c r="K45" s="2">
        <f ca="1">IF(TYPE(VLOOKUP(C45,'KO4'!$D$4:$D$9,1,0))&lt;4,4,999)</f>
        <v>999</v>
      </c>
      <c r="L45" s="2">
        <f ca="1">Start.listina!$K$7</f>
        <v>63</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H3</v>
      </c>
      <c r="C46" s="11" t="str">
        <f ca="1">Start.listina!$AL54</f>
        <v>44 Spolek Park Grébovka - Nepomucký Jaroslav</v>
      </c>
      <c r="D46" s="2">
        <f ca="1">IF(A46&gt;Start.listina!$K$7,"",INT((A46-1)/$M$2)+1)</f>
        <v>3</v>
      </c>
      <c r="E46" s="302">
        <f ca="1">IF(A46&gt;Start.listina!$K$7,"",MIN(F46:L46))</f>
        <v>14</v>
      </c>
      <c r="F46" s="2">
        <f ca="1">IF(TYPE(VLOOKUP(C46,Konečné_pořadí_1_16!$B$2:$D$17,3,0))&lt;4,VLOOKUP(C46,Konečné_pořadí_1_16!$B$2:$D$17,3,0),999)</f>
        <v>14</v>
      </c>
      <c r="G46" s="2">
        <f ca="1">IF(TYPE(VLOOKUP(C46,'KO64'!$D$4:$D$129,1,0))&lt;4,64,999)</f>
        <v>64</v>
      </c>
      <c r="H46" s="2">
        <f ca="1">IF(TYPE(VLOOKUP(C46,'KO32'!$D$4:$D$65,1,0))&lt;4,32,999)</f>
        <v>32</v>
      </c>
      <c r="I46" s="2">
        <f ca="1">IF(TYPE(VLOOKUP(C46,'KO16'!$D$4:$D$33,1,0))&lt;4,16,999)</f>
        <v>16</v>
      </c>
      <c r="J46" s="2">
        <f ca="1">IF(TYPE(VLOOKUP(C46,'KO8'!$D$4:$D$17,1,0))&lt;4,8,999)</f>
        <v>999</v>
      </c>
      <c r="K46" s="2">
        <f ca="1">IF(TYPE(VLOOKUP(C46,'KO4'!$D$4:$D$9,1,0))&lt;4,4,999)</f>
        <v>999</v>
      </c>
      <c r="L46" s="2">
        <f ca="1">Start.listina!$K$7</f>
        <v>63</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I3</v>
      </c>
      <c r="C47" s="11" t="str">
        <f ca="1">Start.listina!$AL55</f>
        <v>45 Spolek Park Grébovka - Kremlík Miroslav</v>
      </c>
      <c r="D47" s="2">
        <f ca="1">IF(A47&gt;Start.listina!$K$7,"",INT((A47-1)/$M$2)+1)</f>
        <v>3</v>
      </c>
      <c r="E47" s="302">
        <f ca="1">IF(A47&gt;Start.listina!$K$7,"",MIN(F47:L47))</f>
        <v>32</v>
      </c>
      <c r="F47" s="2">
        <f ca="1">IF(TYPE(VLOOKUP(C47,Konečné_pořadí_1_16!$B$2:$D$17,3,0))&lt;4,VLOOKUP(C47,Konečné_pořadí_1_16!$B$2:$D$17,3,0),999)</f>
        <v>999</v>
      </c>
      <c r="G47" s="2">
        <f ca="1">IF(TYPE(VLOOKUP(C47,'KO64'!$D$4:$D$129,1,0))&lt;4,64,999)</f>
        <v>64</v>
      </c>
      <c r="H47" s="2">
        <f ca="1">IF(TYPE(VLOOKUP(C47,'KO32'!$D$4:$D$65,1,0))&lt;4,32,999)</f>
        <v>32</v>
      </c>
      <c r="I47" s="2">
        <f ca="1">IF(TYPE(VLOOKUP(C47,'KO16'!$D$4:$D$33,1,0))&lt;4,16,999)</f>
        <v>999</v>
      </c>
      <c r="J47" s="2">
        <f ca="1">IF(TYPE(VLOOKUP(C47,'KO8'!$D$4:$D$17,1,0))&lt;4,8,999)</f>
        <v>999</v>
      </c>
      <c r="K47" s="2">
        <f ca="1">IF(TYPE(VLOOKUP(C47,'KO4'!$D$4:$D$9,1,0))&lt;4,4,999)</f>
        <v>999</v>
      </c>
      <c r="L47" s="2">
        <f ca="1">Start.listina!$K$7</f>
        <v>63</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J3</v>
      </c>
      <c r="C48" s="11" t="str">
        <f ca="1">Start.listina!$AL56</f>
        <v>46 CdP Loděnice - Zderadička Jiří</v>
      </c>
      <c r="D48" s="2">
        <f ca="1">IF(A48&gt;Start.listina!$K$7,"",INT((A48-1)/$M$2)+1)</f>
        <v>3</v>
      </c>
      <c r="E48" s="302">
        <f ca="1">IF(A48&gt;Start.listina!$K$7,"",MIN(F48:L48))</f>
        <v>63</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63</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K3</v>
      </c>
      <c r="C49" s="11" t="str">
        <f ca="1">Start.listina!$AL57</f>
        <v>47 CdP Loděnice - Paták Jan</v>
      </c>
      <c r="D49" s="2">
        <f ca="1">IF(A49&gt;Start.listina!$K$7,"",INT((A49-1)/$M$2)+1)</f>
        <v>3</v>
      </c>
      <c r="E49" s="302">
        <f ca="1">IF(A49&gt;Start.listina!$K$7,"",MIN(F49:L49))</f>
        <v>32</v>
      </c>
      <c r="F49" s="2">
        <f ca="1">IF(TYPE(VLOOKUP(C49,Konečné_pořadí_1_16!$B$2:$D$17,3,0))&lt;4,VLOOKUP(C49,Konečné_pořadí_1_16!$B$2:$D$17,3,0),999)</f>
        <v>999</v>
      </c>
      <c r="G49" s="2">
        <f ca="1">IF(TYPE(VLOOKUP(C49,'KO64'!$D$4:$D$129,1,0))&lt;4,64,999)</f>
        <v>64</v>
      </c>
      <c r="H49" s="2">
        <f ca="1">IF(TYPE(VLOOKUP(C49,'KO32'!$D$4:$D$65,1,0))&lt;4,32,999)</f>
        <v>32</v>
      </c>
      <c r="I49" s="2">
        <f ca="1">IF(TYPE(VLOOKUP(C49,'KO16'!$D$4:$D$33,1,0))&lt;4,16,999)</f>
        <v>999</v>
      </c>
      <c r="J49" s="2">
        <f ca="1">IF(TYPE(VLOOKUP(C49,'KO8'!$D$4:$D$17,1,0))&lt;4,8,999)</f>
        <v>999</v>
      </c>
      <c r="K49" s="2">
        <f ca="1">IF(TYPE(VLOOKUP(C49,'KO4'!$D$4:$D$9,1,0))&lt;4,4,999)</f>
        <v>999</v>
      </c>
      <c r="L49" s="2">
        <f ca="1">Start.listina!$K$7</f>
        <v>63</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L3</v>
      </c>
      <c r="C50" s="11" t="str">
        <f ca="1">Start.listina!$AL58</f>
        <v>48 PCP Lipník - Reinbergrová Václava</v>
      </c>
      <c r="D50" s="2">
        <f ca="1">IF(A50&gt;Start.listina!$K$7,"",INT((A50-1)/$M$2)+1)</f>
        <v>3</v>
      </c>
      <c r="E50" s="302">
        <f ca="1">IF(A50&gt;Start.listina!$K$7,"",MIN(F50:L50))</f>
        <v>63</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63</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M3</v>
      </c>
      <c r="C51" s="11" t="str">
        <f ca="1">Start.listina!$AL59</f>
        <v>49 PEK Stolín - Hájková Dorota</v>
      </c>
      <c r="D51" s="2">
        <f ca="1">IF(A51&gt;Start.listina!$K$7,"",INT((A51-1)/$M$2)+1)</f>
        <v>3</v>
      </c>
      <c r="E51" s="302">
        <f ca="1">IF(A51&gt;Start.listina!$K$7,"",MIN(F51:L51))</f>
        <v>63</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63</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N3</v>
      </c>
      <c r="C52" s="11" t="str">
        <f ca="1">Start.listina!$AL60</f>
        <v>50 C.T.P. Club Ořech - Glaser Vladimír</v>
      </c>
      <c r="D52" s="2">
        <f ca="1">IF(A52&gt;Start.listina!$K$7,"",INT((A52-1)/$M$2)+1)</f>
        <v>3</v>
      </c>
      <c r="E52" s="302">
        <f ca="1">IF(A52&gt;Start.listina!$K$7,"",MIN(F52:L52))</f>
        <v>63</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63</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O3</v>
      </c>
      <c r="C53" s="11" t="str">
        <f ca="1">Start.listina!$AL61</f>
        <v>51 SKP Kulová osma - Fára Jindřich</v>
      </c>
      <c r="D53" s="2">
        <f ca="1">IF(A53&gt;Start.listina!$K$7,"",INT((A53-1)/$M$2)+1)</f>
        <v>3</v>
      </c>
      <c r="E53" s="302">
        <f ca="1">IF(A53&gt;Start.listina!$K$7,"",MIN(F53:L53))</f>
        <v>63</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63</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P3</v>
      </c>
      <c r="C54" s="11" t="str">
        <f ca="1">Start.listina!$AL62</f>
        <v>52 CdP Loděnice - Janoš Jiří</v>
      </c>
      <c r="D54" s="2">
        <f ca="1">IF(A54&gt;Start.listina!$K$7,"",INT((A54-1)/$M$2)+1)</f>
        <v>3</v>
      </c>
      <c r="E54" s="302">
        <f ca="1">IF(A54&gt;Start.listina!$K$7,"",MIN(F54:L54))</f>
        <v>32</v>
      </c>
      <c r="F54" s="2">
        <f ca="1">IF(TYPE(VLOOKUP(C54,Konečné_pořadí_1_16!$B$2:$D$17,3,0))&lt;4,VLOOKUP(C54,Konečné_pořadí_1_16!$B$2:$D$17,3,0),999)</f>
        <v>999</v>
      </c>
      <c r="G54" s="2">
        <f ca="1">IF(TYPE(VLOOKUP(C54,'KO64'!$D$4:$D$129,1,0))&lt;4,64,999)</f>
        <v>64</v>
      </c>
      <c r="H54" s="2">
        <f ca="1">IF(TYPE(VLOOKUP(C54,'KO32'!$D$4:$D$65,1,0))&lt;4,32,999)</f>
        <v>32</v>
      </c>
      <c r="I54" s="2">
        <f ca="1">IF(TYPE(VLOOKUP(C54,'KO16'!$D$4:$D$33,1,0))&lt;4,16,999)</f>
        <v>999</v>
      </c>
      <c r="J54" s="2">
        <f ca="1">IF(TYPE(VLOOKUP(C54,'KO8'!$D$4:$D$17,1,0))&lt;4,8,999)</f>
        <v>999</v>
      </c>
      <c r="K54" s="2">
        <f ca="1">IF(TYPE(VLOOKUP(C54,'KO4'!$D$4:$D$9,1,0))&lt;4,4,999)</f>
        <v>999</v>
      </c>
      <c r="L54" s="2">
        <f ca="1">Start.listina!$K$7</f>
        <v>63</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Q3</v>
      </c>
      <c r="C55" s="11" t="str">
        <f ca="1">Start.listina!$AL63</f>
        <v>53 CP VARY - Šimek Petr</v>
      </c>
      <c r="D55" s="2">
        <f ca="1">IF(A55&gt;Start.listina!$K$7,"",INT((A55-1)/$M$2)+1)</f>
        <v>3</v>
      </c>
      <c r="E55" s="302">
        <f ca="1">IF(A55&gt;Start.listina!$K$7,"",MIN(F55:L55))</f>
        <v>32</v>
      </c>
      <c r="F55" s="2">
        <f ca="1">IF(TYPE(VLOOKUP(C55,Konečné_pořadí_1_16!$B$2:$D$17,3,0))&lt;4,VLOOKUP(C55,Konečné_pořadí_1_16!$B$2:$D$17,3,0),999)</f>
        <v>999</v>
      </c>
      <c r="G55" s="2">
        <f ca="1">IF(TYPE(VLOOKUP(C55,'KO64'!$D$4:$D$129,1,0))&lt;4,64,999)</f>
        <v>64</v>
      </c>
      <c r="H55" s="2">
        <f ca="1">IF(TYPE(VLOOKUP(C55,'KO32'!$D$4:$D$65,1,0))&lt;4,32,999)</f>
        <v>32</v>
      </c>
      <c r="I55" s="2">
        <f ca="1">IF(TYPE(VLOOKUP(C55,'KO16'!$D$4:$D$33,1,0))&lt;4,16,999)</f>
        <v>999</v>
      </c>
      <c r="J55" s="2">
        <f ca="1">IF(TYPE(VLOOKUP(C55,'KO8'!$D$4:$D$17,1,0))&lt;4,8,999)</f>
        <v>999</v>
      </c>
      <c r="K55" s="2">
        <f ca="1">IF(TYPE(VLOOKUP(C55,'KO4'!$D$4:$D$9,1,0))&lt;4,4,999)</f>
        <v>999</v>
      </c>
      <c r="L55" s="2">
        <f ca="1">Start.listina!$K$7</f>
        <v>63</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R3</v>
      </c>
      <c r="C56" s="11" t="str">
        <f ca="1">Start.listina!$AL64</f>
        <v>54 PCP Lipník - Doubrava Antonín</v>
      </c>
      <c r="D56" s="2">
        <f ca="1">IF(A56&gt;Start.listina!$K$7,"",INT((A56-1)/$M$2)+1)</f>
        <v>3</v>
      </c>
      <c r="E56" s="302">
        <f ca="1">IF(A56&gt;Start.listina!$K$7,"",MIN(F56:L56))</f>
        <v>32</v>
      </c>
      <c r="F56" s="2">
        <f ca="1">IF(TYPE(VLOOKUP(C56,Konečné_pořadí_1_16!$B$2:$D$17,3,0))&lt;4,VLOOKUP(C56,Konečné_pořadí_1_16!$B$2:$D$17,3,0),999)</f>
        <v>999</v>
      </c>
      <c r="G56" s="2">
        <f ca="1">IF(TYPE(VLOOKUP(C56,'KO64'!$D$4:$D$129,1,0))&lt;4,64,999)</f>
        <v>64</v>
      </c>
      <c r="H56" s="2">
        <f ca="1">IF(TYPE(VLOOKUP(C56,'KO32'!$D$4:$D$65,1,0))&lt;4,32,999)</f>
        <v>32</v>
      </c>
      <c r="I56" s="2">
        <f ca="1">IF(TYPE(VLOOKUP(C56,'KO16'!$D$4:$D$33,1,0))&lt;4,16,999)</f>
        <v>999</v>
      </c>
      <c r="J56" s="2">
        <f ca="1">IF(TYPE(VLOOKUP(C56,'KO8'!$D$4:$D$17,1,0))&lt;4,8,999)</f>
        <v>999</v>
      </c>
      <c r="K56" s="2">
        <f ca="1">IF(TYPE(VLOOKUP(C56,'KO4'!$D$4:$D$9,1,0))&lt;4,4,999)</f>
        <v>999</v>
      </c>
      <c r="L56" s="2">
        <f ca="1">Start.listina!$K$7</f>
        <v>63</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R4</v>
      </c>
      <c r="C57" s="11" t="str">
        <f ca="1">Start.listina!$AL65</f>
        <v>55 PCP Lipník - Moucha Luboš</v>
      </c>
      <c r="D57" s="2">
        <f ca="1">IF(A57&gt;Start.listina!$K$7,"",INT((A57-1)/$M$2)+1)</f>
        <v>4</v>
      </c>
      <c r="E57" s="302">
        <f ca="1">IF(A57&gt;Start.listina!$K$7,"",MIN(F57:L57))</f>
        <v>32</v>
      </c>
      <c r="F57" s="2">
        <f ca="1">IF(TYPE(VLOOKUP(C57,Konečné_pořadí_1_16!$B$2:$D$17,3,0))&lt;4,VLOOKUP(C57,Konečné_pořadí_1_16!$B$2:$D$17,3,0),999)</f>
        <v>999</v>
      </c>
      <c r="G57" s="2">
        <f ca="1">IF(TYPE(VLOOKUP(C57,'KO64'!$D$4:$D$129,1,0))&lt;4,64,999)</f>
        <v>64</v>
      </c>
      <c r="H57" s="2">
        <f ca="1">IF(TYPE(VLOOKUP(C57,'KO32'!$D$4:$D$65,1,0))&lt;4,32,999)</f>
        <v>32</v>
      </c>
      <c r="I57" s="2">
        <f ca="1">IF(TYPE(VLOOKUP(C57,'KO16'!$D$4:$D$33,1,0))&lt;4,16,999)</f>
        <v>999</v>
      </c>
      <c r="J57" s="2">
        <f ca="1">IF(TYPE(VLOOKUP(C57,'KO8'!$D$4:$D$17,1,0))&lt;4,8,999)</f>
        <v>999</v>
      </c>
      <c r="K57" s="2">
        <f ca="1">IF(TYPE(VLOOKUP(C57,'KO4'!$D$4:$D$9,1,0))&lt;4,4,999)</f>
        <v>999</v>
      </c>
      <c r="L57" s="2">
        <f ca="1">Start.listina!$K$7</f>
        <v>63</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Q4</v>
      </c>
      <c r="C58" s="11" t="str">
        <f ca="1">Start.listina!$AL66</f>
        <v>56 SK Španielka Řepy - Szitányiová Mária</v>
      </c>
      <c r="D58" s="2">
        <f ca="1">IF(A58&gt;Start.listina!$K$7,"",INT((A58-1)/$M$2)+1)</f>
        <v>4</v>
      </c>
      <c r="E58" s="302">
        <f ca="1">IF(A58&gt;Start.listina!$K$7,"",MIN(F58:L58))</f>
        <v>63</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63</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P4</v>
      </c>
      <c r="C59" s="11" t="str">
        <f ca="1">Start.listina!$AL67</f>
        <v>57 Orel Řečkovice - Leistnerová Lucie</v>
      </c>
      <c r="D59" s="2">
        <f ca="1">IF(A59&gt;Start.listina!$K$7,"",INT((A59-1)/$M$2)+1)</f>
        <v>4</v>
      </c>
      <c r="E59" s="302">
        <f ca="1">IF(A59&gt;Start.listina!$K$7,"",MIN(F59:L59))</f>
        <v>63</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63</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O4</v>
      </c>
      <c r="C60" s="11" t="str">
        <f ca="1">Start.listina!$AL68</f>
        <v>58 SKP Kulová osma - Pavýza Milan</v>
      </c>
      <c r="D60" s="2">
        <f ca="1">IF(A60&gt;Start.listina!$K$7,"",INT((A60-1)/$M$2)+1)</f>
        <v>4</v>
      </c>
      <c r="E60" s="302">
        <f ca="1">IF(A60&gt;Start.listina!$K$7,"",MIN(F60:L60))</f>
        <v>63</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63</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N4</v>
      </c>
      <c r="C61" s="11" t="str">
        <f ca="1">Start.listina!$AL69</f>
        <v>59 CP VARY - Fürst Jiří</v>
      </c>
      <c r="D61" s="2">
        <f ca="1">IF(A61&gt;Start.listina!$K$7,"",INT((A61-1)/$M$2)+1)</f>
        <v>4</v>
      </c>
      <c r="E61" s="302">
        <f ca="1">IF(A61&gt;Start.listina!$K$7,"",MIN(F61:L61))</f>
        <v>63</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63</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M4</v>
      </c>
      <c r="C62" s="11" t="str">
        <f ca="1">Start.listina!$AL70</f>
        <v>60 PK Osika Plzeň - Přibyl Miroslav</v>
      </c>
      <c r="D62" s="2">
        <f ca="1">IF(A62&gt;Start.listina!$K$7,"",INT((A62-1)/$M$2)+1)</f>
        <v>4</v>
      </c>
      <c r="E62" s="302">
        <f ca="1">IF(A62&gt;Start.listina!$K$7,"",MIN(F62:L62))</f>
        <v>63</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63</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L4</v>
      </c>
      <c r="C63" s="11" t="str">
        <f ca="1">Start.listina!$AL71</f>
        <v>61 SK Španielka Řepy - Prajer Milan</v>
      </c>
      <c r="D63" s="2">
        <f ca="1">IF(A63&gt;Start.listina!$K$7,"",INT((A63-1)/$M$2)+1)</f>
        <v>4</v>
      </c>
      <c r="E63" s="302">
        <f ca="1">IF(A63&gt;Start.listina!$K$7,"",MIN(F63:L63))</f>
        <v>63</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63</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K4</v>
      </c>
      <c r="C64" s="11" t="str">
        <f ca="1">Start.listina!$AL72</f>
        <v>62 CdP Loděnice - Pospíšilová Šárka</v>
      </c>
      <c r="D64" s="2">
        <f ca="1">IF(A64&gt;Start.listina!$K$7,"",INT((A64-1)/$M$2)+1)</f>
        <v>4</v>
      </c>
      <c r="E64" s="302">
        <f ca="1">IF(A64&gt;Start.listina!$K$7,"",MIN(F64:L64))</f>
        <v>13</v>
      </c>
      <c r="F64" s="2">
        <f ca="1">IF(TYPE(VLOOKUP(C64,Konečné_pořadí_1_16!$B$2:$D$17,3,0))&lt;4,VLOOKUP(C64,Konečné_pořadí_1_16!$B$2:$D$17,3,0),999)</f>
        <v>13</v>
      </c>
      <c r="G64" s="2">
        <f ca="1">IF(TYPE(VLOOKUP(C64,'KO64'!$D$4:$D$129,1,0))&lt;4,64,999)</f>
        <v>64</v>
      </c>
      <c r="H64" s="2">
        <f ca="1">IF(TYPE(VLOOKUP(C64,'KO32'!$D$4:$D$65,1,0))&lt;4,32,999)</f>
        <v>32</v>
      </c>
      <c r="I64" s="2">
        <f ca="1">IF(TYPE(VLOOKUP(C64,'KO16'!$D$4:$D$33,1,0))&lt;4,16,999)</f>
        <v>16</v>
      </c>
      <c r="J64" s="2">
        <f ca="1">IF(TYPE(VLOOKUP(C64,'KO8'!$D$4:$D$17,1,0))&lt;4,8,999)</f>
        <v>999</v>
      </c>
      <c r="K64" s="2">
        <f ca="1">IF(TYPE(VLOOKUP(C64,'KO4'!$D$4:$D$9,1,0))&lt;4,4,999)</f>
        <v>999</v>
      </c>
      <c r="L64" s="2">
        <f ca="1">Start.listina!$K$7</f>
        <v>63</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J4</v>
      </c>
      <c r="C65" s="11" t="str">
        <f ca="1">Start.listina!$AL73</f>
        <v>63 SK Španielka Řepy - Novotná Marie</v>
      </c>
      <c r="D65" s="2">
        <f ca="1">IF(A65&gt;Start.listina!$K$7,"",INT((A65-1)/$M$2)+1)</f>
        <v>4</v>
      </c>
      <c r="E65" s="302">
        <f ca="1">IF(A65&gt;Start.listina!$K$7,"",MIN(F65:L65))</f>
        <v>63</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63</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63</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63</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63</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63</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63</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63</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63</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63</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63</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63</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63</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63</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63</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63</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63</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63</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63</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63</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63</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63</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63</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63</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63</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63</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63</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63</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63</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63</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63</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63</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63</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63</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63</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63</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63</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63</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63</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63</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63</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63</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63</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63</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63</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63</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63</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63</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63</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63</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63</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63</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63</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63</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63</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63</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63</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63</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63</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63</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63</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63</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63</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63</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63</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63</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63</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41.877062500000001</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0</v>
      </c>
    </row>
    <row r="3" spans="1:12" ht="35.450000000000003" customHeight="1" thickBot="1">
      <c r="A3" s="315" t="s">
        <v>250</v>
      </c>
      <c r="B3" s="304" t="s">
        <v>312</v>
      </c>
      <c r="C3" s="311" t="s">
        <v>315</v>
      </c>
      <c r="D3" s="311" t="s">
        <v>316</v>
      </c>
      <c r="E3" s="311" t="s">
        <v>326</v>
      </c>
      <c r="F3" s="314" t="s">
        <v>304</v>
      </c>
      <c r="G3" s="309" t="s">
        <v>313</v>
      </c>
      <c r="H3" s="310">
        <f ca="1">'Počet kol'!$D$3</f>
        <v>6</v>
      </c>
      <c r="I3" s="317">
        <f ca="1">Start.listina!$K$7</f>
        <v>63</v>
      </c>
      <c r="K3" s="125" t="s">
        <v>323</v>
      </c>
      <c r="L3" s="126">
        <f>IF(TYPE(VLOOKUP(Start.listina!N2,Paušál!A4:B7,2,0))&gt;3,0,VLOOKUP(Start.listina!N2,Paušál!A4:B7,2,0))</f>
        <v>1</v>
      </c>
    </row>
    <row r="4" spans="1:12">
      <c r="A4" s="316">
        <v>1</v>
      </c>
      <c r="B4" s="312">
        <f ca="1">J4*($H$3-C4+D4)</f>
        <v>6</v>
      </c>
      <c r="C4" s="2">
        <v>0</v>
      </c>
      <c r="D4" s="165">
        <v>0</v>
      </c>
      <c r="E4" s="165">
        <f t="shared" ref="E4:E24" ca="1" si="0">J4*(B4*$L$1+F4)-(J4-1)*$L$3</f>
        <v>251.26237500000002</v>
      </c>
      <c r="F4" s="165">
        <f ca="1">IF(A4&lt;$I$3,$L$2,0)</f>
        <v>0</v>
      </c>
      <c r="J4">
        <f t="shared" ref="J4:J25" ca="1" si="1">IF($I$3&lt;=A4,0,1)</f>
        <v>1</v>
      </c>
    </row>
    <row r="5" spans="1:12">
      <c r="A5" s="316">
        <v>2</v>
      </c>
      <c r="B5" s="312">
        <f ca="1">J5*($H$3-C5+D5)</f>
        <v>5</v>
      </c>
      <c r="C5" s="2">
        <v>1</v>
      </c>
      <c r="D5" s="165">
        <v>0</v>
      </c>
      <c r="E5" s="165">
        <f t="shared" ca="1" si="0"/>
        <v>209.3853125</v>
      </c>
      <c r="F5" s="165">
        <f t="shared" ref="F5:F68" ca="1" si="2">IF(A5&lt;$I$3,$L$2,0)</f>
        <v>0</v>
      </c>
      <c r="J5">
        <f t="shared" ca="1" si="1"/>
        <v>1</v>
      </c>
    </row>
    <row r="6" spans="1:12">
      <c r="A6" s="316">
        <v>3</v>
      </c>
      <c r="B6" s="312">
        <f t="shared" ref="B6:B69" ca="1" si="3">J6*($H$3-C6+D6)</f>
        <v>4.5</v>
      </c>
      <c r="C6" s="2">
        <v>2</v>
      </c>
      <c r="D6" s="312">
        <f>1/2</f>
        <v>0.5</v>
      </c>
      <c r="E6" s="165">
        <f t="shared" ca="1" si="0"/>
        <v>188.44678125000002</v>
      </c>
      <c r="F6" s="165">
        <f t="shared" ca="1" si="2"/>
        <v>0</v>
      </c>
      <c r="J6">
        <f t="shared" ca="1" si="1"/>
        <v>1</v>
      </c>
    </row>
    <row r="7" spans="1:12">
      <c r="A7" s="316">
        <v>4</v>
      </c>
      <c r="B7" s="312">
        <f t="shared" ca="1" si="3"/>
        <v>4</v>
      </c>
      <c r="C7" s="2">
        <v>2</v>
      </c>
      <c r="D7" s="165">
        <v>0</v>
      </c>
      <c r="E7" s="165">
        <f t="shared" ca="1" si="0"/>
        <v>167.50825</v>
      </c>
      <c r="F7" s="165">
        <f t="shared" ca="1" si="2"/>
        <v>0</v>
      </c>
      <c r="J7">
        <f t="shared" ca="1" si="1"/>
        <v>1</v>
      </c>
    </row>
    <row r="8" spans="1:12">
      <c r="A8" s="316">
        <v>5</v>
      </c>
      <c r="B8" s="312">
        <f t="shared" ca="1" si="3"/>
        <v>3.75</v>
      </c>
      <c r="C8" s="2">
        <v>3</v>
      </c>
      <c r="D8" s="165">
        <f>3/4</f>
        <v>0.75</v>
      </c>
      <c r="E8" s="165">
        <f t="shared" ca="1" si="0"/>
        <v>157.03898437500001</v>
      </c>
      <c r="F8" s="165">
        <f t="shared" ca="1" si="2"/>
        <v>0</v>
      </c>
      <c r="J8">
        <f t="shared" ca="1" si="1"/>
        <v>1</v>
      </c>
    </row>
    <row r="9" spans="1:12">
      <c r="A9" s="316">
        <v>6</v>
      </c>
      <c r="B9" s="312">
        <f t="shared" ca="1" si="3"/>
        <v>3.5</v>
      </c>
      <c r="C9" s="2">
        <v>3</v>
      </c>
      <c r="D9" s="165">
        <f>2/4</f>
        <v>0.5</v>
      </c>
      <c r="E9" s="165">
        <f t="shared" ca="1" si="0"/>
        <v>146.56971874999999</v>
      </c>
      <c r="F9" s="165">
        <f t="shared" ca="1" si="2"/>
        <v>0</v>
      </c>
      <c r="J9">
        <f t="shared" ca="1" si="1"/>
        <v>1</v>
      </c>
    </row>
    <row r="10" spans="1:12">
      <c r="A10" s="316">
        <v>7</v>
      </c>
      <c r="B10" s="312">
        <f t="shared" ca="1" si="3"/>
        <v>3.25</v>
      </c>
      <c r="C10" s="2">
        <v>3</v>
      </c>
      <c r="D10" s="165">
        <f>1/4</f>
        <v>0.25</v>
      </c>
      <c r="E10" s="165">
        <f t="shared" ca="1" si="0"/>
        <v>136.100453125</v>
      </c>
      <c r="F10" s="165">
        <f t="shared" ca="1" si="2"/>
        <v>0</v>
      </c>
      <c r="J10">
        <f t="shared" ca="1" si="1"/>
        <v>1</v>
      </c>
    </row>
    <row r="11" spans="1:12">
      <c r="A11" s="316">
        <v>8</v>
      </c>
      <c r="B11" s="312">
        <f t="shared" ca="1" si="3"/>
        <v>3</v>
      </c>
      <c r="C11" s="2">
        <v>3</v>
      </c>
      <c r="D11" s="165">
        <v>0</v>
      </c>
      <c r="E11" s="165">
        <f t="shared" ca="1" si="0"/>
        <v>125.63118750000001</v>
      </c>
      <c r="F11" s="165">
        <f t="shared" ca="1" si="2"/>
        <v>0</v>
      </c>
      <c r="J11">
        <f t="shared" ca="1" si="1"/>
        <v>1</v>
      </c>
    </row>
    <row r="12" spans="1:12">
      <c r="A12" s="316">
        <v>9</v>
      </c>
      <c r="B12" s="312">
        <f t="shared" ca="1" si="3"/>
        <v>2.875</v>
      </c>
      <c r="C12" s="2">
        <v>4</v>
      </c>
      <c r="D12" s="165">
        <f>7/8</f>
        <v>0.875</v>
      </c>
      <c r="E12" s="165">
        <f t="shared" ca="1" si="0"/>
        <v>120.3965546875</v>
      </c>
      <c r="F12" s="165">
        <f t="shared" ca="1" si="2"/>
        <v>0</v>
      </c>
      <c r="J12">
        <f t="shared" ca="1" si="1"/>
        <v>1</v>
      </c>
    </row>
    <row r="13" spans="1:12">
      <c r="A13" s="316">
        <v>10</v>
      </c>
      <c r="B13" s="312">
        <f t="shared" ca="1" si="3"/>
        <v>2.75</v>
      </c>
      <c r="C13" s="2">
        <v>4</v>
      </c>
      <c r="D13" s="165">
        <f>6/8</f>
        <v>0.75</v>
      </c>
      <c r="E13" s="165">
        <f t="shared" ca="1" si="0"/>
        <v>115.161921875</v>
      </c>
      <c r="F13" s="165">
        <f t="shared" ca="1" si="2"/>
        <v>0</v>
      </c>
      <c r="J13">
        <f t="shared" ca="1" si="1"/>
        <v>1</v>
      </c>
    </row>
    <row r="14" spans="1:12">
      <c r="A14" s="316">
        <v>11</v>
      </c>
      <c r="B14" s="312">
        <f t="shared" ca="1" si="3"/>
        <v>2.625</v>
      </c>
      <c r="C14" s="2">
        <v>4</v>
      </c>
      <c r="D14" s="165">
        <f>5/8</f>
        <v>0.625</v>
      </c>
      <c r="E14" s="165">
        <f t="shared" ca="1" si="0"/>
        <v>109.92728906250001</v>
      </c>
      <c r="F14" s="165">
        <f t="shared" ca="1" si="2"/>
        <v>0</v>
      </c>
      <c r="J14">
        <f t="shared" ca="1" si="1"/>
        <v>1</v>
      </c>
    </row>
    <row r="15" spans="1:12">
      <c r="A15" s="316">
        <v>12</v>
      </c>
      <c r="B15" s="312">
        <f t="shared" ca="1" si="3"/>
        <v>2.5</v>
      </c>
      <c r="C15" s="2">
        <v>4</v>
      </c>
      <c r="D15" s="165">
        <f>4/8</f>
        <v>0.5</v>
      </c>
      <c r="E15" s="165">
        <f t="shared" ca="1" si="0"/>
        <v>104.69265625</v>
      </c>
      <c r="F15" s="165">
        <f t="shared" ca="1" si="2"/>
        <v>0</v>
      </c>
      <c r="J15">
        <f t="shared" ca="1" si="1"/>
        <v>1</v>
      </c>
    </row>
    <row r="16" spans="1:12">
      <c r="A16" s="316">
        <v>13</v>
      </c>
      <c r="B16" s="312">
        <f t="shared" ca="1" si="3"/>
        <v>2.375</v>
      </c>
      <c r="C16" s="2">
        <v>4</v>
      </c>
      <c r="D16" s="165">
        <f>3/8</f>
        <v>0.375</v>
      </c>
      <c r="E16" s="165">
        <f t="shared" ca="1" si="0"/>
        <v>99.458023437500003</v>
      </c>
      <c r="F16" s="165">
        <f t="shared" ca="1" si="2"/>
        <v>0</v>
      </c>
      <c r="J16">
        <f t="shared" ca="1" si="1"/>
        <v>1</v>
      </c>
    </row>
    <row r="17" spans="1:10">
      <c r="A17" s="316">
        <v>14</v>
      </c>
      <c r="B17" s="312">
        <f t="shared" ca="1" si="3"/>
        <v>2.25</v>
      </c>
      <c r="C17" s="2">
        <v>4</v>
      </c>
      <c r="D17" s="165">
        <f>2/8</f>
        <v>0.25</v>
      </c>
      <c r="E17" s="165">
        <f t="shared" ca="1" si="0"/>
        <v>94.223390625000008</v>
      </c>
      <c r="F17" s="165">
        <f t="shared" ca="1" si="2"/>
        <v>0</v>
      </c>
      <c r="J17">
        <f t="shared" ca="1" si="1"/>
        <v>1</v>
      </c>
    </row>
    <row r="18" spans="1:10">
      <c r="A18" s="316">
        <v>15</v>
      </c>
      <c r="B18" s="312">
        <f t="shared" ca="1" si="3"/>
        <v>2.125</v>
      </c>
      <c r="C18" s="2">
        <v>4</v>
      </c>
      <c r="D18" s="165">
        <f>1/8</f>
        <v>0.125</v>
      </c>
      <c r="E18" s="165">
        <f t="shared" ca="1" si="0"/>
        <v>88.988757812499998</v>
      </c>
      <c r="F18" s="165">
        <f t="shared" ca="1" si="2"/>
        <v>0</v>
      </c>
      <c r="J18">
        <f t="shared" ca="1" si="1"/>
        <v>1</v>
      </c>
    </row>
    <row r="19" spans="1:10">
      <c r="A19" s="316">
        <v>16</v>
      </c>
      <c r="B19" s="312">
        <f t="shared" ca="1" si="3"/>
        <v>2</v>
      </c>
      <c r="C19" s="2">
        <v>4</v>
      </c>
      <c r="D19" s="165">
        <v>0</v>
      </c>
      <c r="E19" s="165">
        <f t="shared" ca="1" si="0"/>
        <v>83.754125000000002</v>
      </c>
      <c r="F19" s="165">
        <f t="shared" ca="1" si="2"/>
        <v>0</v>
      </c>
      <c r="J19">
        <f t="shared" ca="1" si="1"/>
        <v>1</v>
      </c>
    </row>
    <row r="20" spans="1:10">
      <c r="A20" s="316">
        <v>17</v>
      </c>
      <c r="B20" s="312">
        <f t="shared" ca="1" si="3"/>
        <v>1.9375</v>
      </c>
      <c r="C20" s="2">
        <v>5</v>
      </c>
      <c r="D20" s="165">
        <f>15/16</f>
        <v>0.9375</v>
      </c>
      <c r="E20" s="165">
        <f t="shared" ca="1" si="0"/>
        <v>81.136808593750004</v>
      </c>
      <c r="F20" s="165">
        <f t="shared" ca="1" si="2"/>
        <v>0</v>
      </c>
      <c r="J20">
        <f t="shared" ca="1" si="1"/>
        <v>1</v>
      </c>
    </row>
    <row r="21" spans="1:10">
      <c r="A21" s="316">
        <v>18</v>
      </c>
      <c r="B21" s="312">
        <f t="shared" ca="1" si="3"/>
        <v>1.875</v>
      </c>
      <c r="C21" s="2">
        <v>5</v>
      </c>
      <c r="D21" s="165">
        <f>14/16</f>
        <v>0.875</v>
      </c>
      <c r="E21" s="165">
        <f t="shared" ca="1" si="0"/>
        <v>78.519492187500006</v>
      </c>
      <c r="F21" s="165">
        <f t="shared" ca="1" si="2"/>
        <v>0</v>
      </c>
      <c r="J21">
        <f t="shared" ca="1" si="1"/>
        <v>1</v>
      </c>
    </row>
    <row r="22" spans="1:10">
      <c r="A22" s="316">
        <v>19</v>
      </c>
      <c r="B22" s="312">
        <f t="shared" ca="1" si="3"/>
        <v>1.8125</v>
      </c>
      <c r="C22" s="2">
        <v>5</v>
      </c>
      <c r="D22" s="165">
        <f>13/16</f>
        <v>0.8125</v>
      </c>
      <c r="E22" s="165">
        <f t="shared" ca="1" si="0"/>
        <v>75.902175781250008</v>
      </c>
      <c r="F22" s="165">
        <f t="shared" ca="1" si="2"/>
        <v>0</v>
      </c>
      <c r="J22">
        <f t="shared" ca="1" si="1"/>
        <v>1</v>
      </c>
    </row>
    <row r="23" spans="1:10">
      <c r="A23" s="316">
        <v>20</v>
      </c>
      <c r="B23" s="312">
        <f t="shared" ca="1" si="3"/>
        <v>1.75</v>
      </c>
      <c r="C23" s="2">
        <v>5</v>
      </c>
      <c r="D23" s="165">
        <f>12/16</f>
        <v>0.75</v>
      </c>
      <c r="E23" s="165">
        <f t="shared" ca="1" si="0"/>
        <v>73.284859374999996</v>
      </c>
      <c r="F23" s="165">
        <f t="shared" ca="1" si="2"/>
        <v>0</v>
      </c>
      <c r="J23">
        <f t="shared" ca="1" si="1"/>
        <v>1</v>
      </c>
    </row>
    <row r="24" spans="1:10">
      <c r="A24" s="316">
        <v>21</v>
      </c>
      <c r="B24" s="312">
        <f t="shared" ca="1" si="3"/>
        <v>1.6875</v>
      </c>
      <c r="C24" s="2">
        <v>5</v>
      </c>
      <c r="D24" s="165">
        <f>11/16</f>
        <v>0.6875</v>
      </c>
      <c r="E24" s="165">
        <f t="shared" ca="1" si="0"/>
        <v>70.667542968749999</v>
      </c>
      <c r="F24" s="165">
        <f t="shared" ca="1" si="2"/>
        <v>0</v>
      </c>
      <c r="J24">
        <f t="shared" ca="1" si="1"/>
        <v>1</v>
      </c>
    </row>
    <row r="25" spans="1:10">
      <c r="A25" s="316">
        <v>22</v>
      </c>
      <c r="B25" s="312">
        <f t="shared" ca="1" si="3"/>
        <v>1.625</v>
      </c>
      <c r="C25" s="2">
        <v>5</v>
      </c>
      <c r="D25" s="165">
        <f>10/16</f>
        <v>0.625</v>
      </c>
      <c r="E25" s="165">
        <f ca="1">J25*(B25*$L$1+F25)-(J25-1)*$L$3</f>
        <v>68.050226562500001</v>
      </c>
      <c r="F25" s="165">
        <f t="shared" ca="1" si="2"/>
        <v>0</v>
      </c>
      <c r="J25">
        <f t="shared" ca="1" si="1"/>
        <v>1</v>
      </c>
    </row>
    <row r="26" spans="1:10">
      <c r="A26" s="316">
        <v>23</v>
      </c>
      <c r="B26" s="312">
        <f t="shared" ca="1" si="3"/>
        <v>1.5625</v>
      </c>
      <c r="C26" s="2">
        <v>5</v>
      </c>
      <c r="D26" s="165">
        <f>9/16</f>
        <v>0.5625</v>
      </c>
      <c r="E26" s="165">
        <f t="shared" ref="E26:E89" ca="1" si="4">J26*(B26*$L$1+F26)-(J26-1)*$L$3</f>
        <v>65.432910156250003</v>
      </c>
      <c r="F26" s="165">
        <f t="shared" ca="1" si="2"/>
        <v>0</v>
      </c>
      <c r="J26">
        <f ca="1">IF($I$3&lt;=A26,0,1)</f>
        <v>1</v>
      </c>
    </row>
    <row r="27" spans="1:10">
      <c r="A27" s="316">
        <v>24</v>
      </c>
      <c r="B27" s="312">
        <f t="shared" ca="1" si="3"/>
        <v>1.5</v>
      </c>
      <c r="C27" s="2">
        <v>5</v>
      </c>
      <c r="D27" s="165">
        <f>8/16</f>
        <v>0.5</v>
      </c>
      <c r="E27" s="165">
        <f t="shared" ca="1" si="4"/>
        <v>62.815593750000005</v>
      </c>
      <c r="F27" s="165">
        <f t="shared" ca="1" si="2"/>
        <v>0</v>
      </c>
      <c r="J27">
        <f t="shared" ref="J27:J90" ca="1" si="5">IF($I$3&lt;=A27,0,1)</f>
        <v>1</v>
      </c>
    </row>
    <row r="28" spans="1:10">
      <c r="A28" s="316">
        <v>25</v>
      </c>
      <c r="B28" s="312">
        <f t="shared" ca="1" si="3"/>
        <v>1.4375</v>
      </c>
      <c r="C28" s="2">
        <v>5</v>
      </c>
      <c r="D28" s="165">
        <f>7/16</f>
        <v>0.4375</v>
      </c>
      <c r="E28" s="165">
        <f t="shared" ca="1" si="4"/>
        <v>60.19827734375</v>
      </c>
      <c r="F28" s="165">
        <f t="shared" ca="1" si="2"/>
        <v>0</v>
      </c>
      <c r="J28">
        <f t="shared" ca="1" si="5"/>
        <v>1</v>
      </c>
    </row>
    <row r="29" spans="1:10">
      <c r="A29" s="316">
        <v>26</v>
      </c>
      <c r="B29" s="312">
        <f t="shared" ca="1" si="3"/>
        <v>1.375</v>
      </c>
      <c r="C29" s="2">
        <v>5</v>
      </c>
      <c r="D29" s="165">
        <f>6/16</f>
        <v>0.375</v>
      </c>
      <c r="E29" s="165">
        <f t="shared" ca="1" si="4"/>
        <v>57.580960937500002</v>
      </c>
      <c r="F29" s="165">
        <f t="shared" ca="1" si="2"/>
        <v>0</v>
      </c>
      <c r="J29">
        <f t="shared" ca="1" si="5"/>
        <v>1</v>
      </c>
    </row>
    <row r="30" spans="1:10">
      <c r="A30" s="316">
        <v>27</v>
      </c>
      <c r="B30" s="312">
        <f t="shared" ca="1" si="3"/>
        <v>1.3125</v>
      </c>
      <c r="C30" s="2">
        <v>5</v>
      </c>
      <c r="D30" s="165">
        <f>5/16</f>
        <v>0.3125</v>
      </c>
      <c r="E30" s="165">
        <f t="shared" ca="1" si="4"/>
        <v>54.963644531250004</v>
      </c>
      <c r="F30" s="165">
        <f t="shared" ca="1" si="2"/>
        <v>0</v>
      </c>
      <c r="J30">
        <f t="shared" ca="1" si="5"/>
        <v>1</v>
      </c>
    </row>
    <row r="31" spans="1:10">
      <c r="A31" s="316">
        <v>28</v>
      </c>
      <c r="B31" s="312">
        <f t="shared" ca="1" si="3"/>
        <v>1.25</v>
      </c>
      <c r="C31" s="2">
        <v>5</v>
      </c>
      <c r="D31" s="165">
        <f>4/16</f>
        <v>0.25</v>
      </c>
      <c r="E31" s="165">
        <f t="shared" ca="1" si="4"/>
        <v>52.346328124999999</v>
      </c>
      <c r="F31" s="165">
        <f t="shared" ca="1" si="2"/>
        <v>0</v>
      </c>
      <c r="J31">
        <f t="shared" ca="1" si="5"/>
        <v>1</v>
      </c>
    </row>
    <row r="32" spans="1:10">
      <c r="A32" s="316">
        <v>29</v>
      </c>
      <c r="B32" s="312">
        <f t="shared" ca="1" si="3"/>
        <v>1.1875</v>
      </c>
      <c r="C32" s="2">
        <v>5</v>
      </c>
      <c r="D32" s="165">
        <f>3/16</f>
        <v>0.1875</v>
      </c>
      <c r="E32" s="165">
        <f t="shared" ca="1" si="4"/>
        <v>49.729011718750002</v>
      </c>
      <c r="F32" s="165">
        <f t="shared" ca="1" si="2"/>
        <v>0</v>
      </c>
      <c r="J32">
        <f t="shared" ca="1" si="5"/>
        <v>1</v>
      </c>
    </row>
    <row r="33" spans="1:10">
      <c r="A33" s="316">
        <v>30</v>
      </c>
      <c r="B33" s="312">
        <f t="shared" ca="1" si="3"/>
        <v>1.125</v>
      </c>
      <c r="C33" s="2">
        <v>5</v>
      </c>
      <c r="D33" s="165">
        <f>2/16</f>
        <v>0.125</v>
      </c>
      <c r="E33" s="165">
        <f t="shared" ca="1" si="4"/>
        <v>47.111695312500004</v>
      </c>
      <c r="F33" s="165">
        <f t="shared" ca="1" si="2"/>
        <v>0</v>
      </c>
      <c r="J33">
        <f t="shared" ca="1" si="5"/>
        <v>1</v>
      </c>
    </row>
    <row r="34" spans="1:10">
      <c r="A34" s="316">
        <v>31</v>
      </c>
      <c r="B34" s="312">
        <f t="shared" ca="1" si="3"/>
        <v>1.0625</v>
      </c>
      <c r="C34" s="2">
        <v>5</v>
      </c>
      <c r="D34" s="165">
        <f>1/16</f>
        <v>6.25E-2</v>
      </c>
      <c r="E34" s="165">
        <f t="shared" ca="1" si="4"/>
        <v>44.494378906249999</v>
      </c>
      <c r="F34" s="165">
        <f t="shared" ca="1" si="2"/>
        <v>0</v>
      </c>
      <c r="J34">
        <f t="shared" ca="1" si="5"/>
        <v>1</v>
      </c>
    </row>
    <row r="35" spans="1:10">
      <c r="A35" s="316">
        <v>32</v>
      </c>
      <c r="B35" s="312">
        <f t="shared" ca="1" si="3"/>
        <v>1</v>
      </c>
      <c r="C35" s="2">
        <v>5</v>
      </c>
      <c r="D35" s="165">
        <v>0</v>
      </c>
      <c r="E35" s="165">
        <f t="shared" ca="1" si="4"/>
        <v>41.877062500000001</v>
      </c>
      <c r="F35" s="165">
        <f t="shared" ca="1" si="2"/>
        <v>0</v>
      </c>
      <c r="J35">
        <f t="shared" ca="1" si="5"/>
        <v>1</v>
      </c>
    </row>
    <row r="36" spans="1:10">
      <c r="A36" s="316">
        <v>33</v>
      </c>
      <c r="B36" s="312">
        <f t="shared" ca="1" si="3"/>
        <v>0.96875</v>
      </c>
      <c r="C36" s="2">
        <v>6</v>
      </c>
      <c r="D36" s="165">
        <f>31/32</f>
        <v>0.96875</v>
      </c>
      <c r="E36" s="165">
        <f t="shared" ca="1" si="4"/>
        <v>40.568404296875002</v>
      </c>
      <c r="F36" s="165">
        <f t="shared" ca="1" si="2"/>
        <v>0</v>
      </c>
      <c r="J36">
        <f t="shared" ca="1" si="5"/>
        <v>1</v>
      </c>
    </row>
    <row r="37" spans="1:10">
      <c r="A37" s="316">
        <v>34</v>
      </c>
      <c r="B37" s="312">
        <f t="shared" ca="1" si="3"/>
        <v>0.9375</v>
      </c>
      <c r="C37" s="2">
        <v>6</v>
      </c>
      <c r="D37" s="165">
        <f>30/32</f>
        <v>0.9375</v>
      </c>
      <c r="E37" s="165">
        <f t="shared" ca="1" si="4"/>
        <v>39.259746093750003</v>
      </c>
      <c r="F37" s="165">
        <f t="shared" ca="1" si="2"/>
        <v>0</v>
      </c>
      <c r="J37">
        <f t="shared" ca="1" si="5"/>
        <v>1</v>
      </c>
    </row>
    <row r="38" spans="1:10">
      <c r="A38" s="316">
        <v>35</v>
      </c>
      <c r="B38" s="312">
        <f t="shared" ca="1" si="3"/>
        <v>0.90625</v>
      </c>
      <c r="C38" s="2">
        <v>6</v>
      </c>
      <c r="D38" s="165">
        <f>29/32</f>
        <v>0.90625</v>
      </c>
      <c r="E38" s="165">
        <f t="shared" ca="1" si="4"/>
        <v>37.951087890625004</v>
      </c>
      <c r="F38" s="165">
        <f t="shared" ca="1" si="2"/>
        <v>0</v>
      </c>
      <c r="J38">
        <f t="shared" ca="1" si="5"/>
        <v>1</v>
      </c>
    </row>
    <row r="39" spans="1:10">
      <c r="A39" s="316">
        <v>36</v>
      </c>
      <c r="B39" s="312">
        <f t="shared" ca="1" si="3"/>
        <v>0.875</v>
      </c>
      <c r="C39" s="2">
        <v>6</v>
      </c>
      <c r="D39" s="165">
        <f>28/32</f>
        <v>0.875</v>
      </c>
      <c r="E39" s="165">
        <f t="shared" ca="1" si="4"/>
        <v>36.642429687499998</v>
      </c>
      <c r="F39" s="165">
        <f t="shared" ca="1" si="2"/>
        <v>0</v>
      </c>
      <c r="J39">
        <f t="shared" ca="1" si="5"/>
        <v>1</v>
      </c>
    </row>
    <row r="40" spans="1:10">
      <c r="A40" s="316">
        <v>37</v>
      </c>
      <c r="B40" s="312">
        <f t="shared" ca="1" si="3"/>
        <v>0.84375</v>
      </c>
      <c r="C40" s="2">
        <v>6</v>
      </c>
      <c r="D40" s="165">
        <f>27/32</f>
        <v>0.84375</v>
      </c>
      <c r="E40" s="165">
        <f t="shared" ca="1" si="4"/>
        <v>35.333771484374999</v>
      </c>
      <c r="F40" s="165">
        <f t="shared" ca="1" si="2"/>
        <v>0</v>
      </c>
      <c r="J40">
        <f t="shared" ca="1" si="5"/>
        <v>1</v>
      </c>
    </row>
    <row r="41" spans="1:10">
      <c r="A41" s="316">
        <v>38</v>
      </c>
      <c r="B41" s="312">
        <f t="shared" ca="1" si="3"/>
        <v>0.8125</v>
      </c>
      <c r="C41" s="2">
        <v>6</v>
      </c>
      <c r="D41" s="165">
        <f>26/32</f>
        <v>0.8125</v>
      </c>
      <c r="E41" s="165">
        <f t="shared" ca="1" si="4"/>
        <v>34.02511328125</v>
      </c>
      <c r="F41" s="165">
        <f t="shared" ca="1" si="2"/>
        <v>0</v>
      </c>
      <c r="J41">
        <f t="shared" ca="1" si="5"/>
        <v>1</v>
      </c>
    </row>
    <row r="42" spans="1:10">
      <c r="A42" s="316">
        <v>39</v>
      </c>
      <c r="B42" s="312">
        <f t="shared" ca="1" si="3"/>
        <v>0.78125</v>
      </c>
      <c r="C42" s="2">
        <v>6</v>
      </c>
      <c r="D42" s="165">
        <f>25/32</f>
        <v>0.78125</v>
      </c>
      <c r="E42" s="165">
        <f t="shared" ca="1" si="4"/>
        <v>32.716455078125001</v>
      </c>
      <c r="F42" s="165">
        <f t="shared" ca="1" si="2"/>
        <v>0</v>
      </c>
      <c r="J42">
        <f t="shared" ca="1" si="5"/>
        <v>1</v>
      </c>
    </row>
    <row r="43" spans="1:10">
      <c r="A43" s="316">
        <v>40</v>
      </c>
      <c r="B43" s="312">
        <f t="shared" ca="1" si="3"/>
        <v>0.75</v>
      </c>
      <c r="C43" s="2">
        <v>6</v>
      </c>
      <c r="D43" s="165">
        <f>24/32</f>
        <v>0.75</v>
      </c>
      <c r="E43" s="165">
        <f t="shared" ca="1" si="4"/>
        <v>31.407796875000003</v>
      </c>
      <c r="F43" s="165">
        <f t="shared" ca="1" si="2"/>
        <v>0</v>
      </c>
      <c r="J43">
        <f t="shared" ca="1" si="5"/>
        <v>1</v>
      </c>
    </row>
    <row r="44" spans="1:10">
      <c r="A44" s="316">
        <v>41</v>
      </c>
      <c r="B44" s="312">
        <f t="shared" ca="1" si="3"/>
        <v>0.71875</v>
      </c>
      <c r="C44" s="2">
        <v>6</v>
      </c>
      <c r="D44" s="165">
        <f>23/32</f>
        <v>0.71875</v>
      </c>
      <c r="E44" s="165">
        <f t="shared" ca="1" si="4"/>
        <v>30.099138671875</v>
      </c>
      <c r="F44" s="165">
        <f t="shared" ca="1" si="2"/>
        <v>0</v>
      </c>
      <c r="J44">
        <f t="shared" ca="1" si="5"/>
        <v>1</v>
      </c>
    </row>
    <row r="45" spans="1:10">
      <c r="A45" s="316">
        <v>42</v>
      </c>
      <c r="B45" s="312">
        <f t="shared" ca="1" si="3"/>
        <v>0.6875</v>
      </c>
      <c r="C45" s="2">
        <v>6</v>
      </c>
      <c r="D45" s="165">
        <f>22/32</f>
        <v>0.6875</v>
      </c>
      <c r="E45" s="165">
        <f t="shared" ca="1" si="4"/>
        <v>28.790480468750001</v>
      </c>
      <c r="F45" s="165">
        <f t="shared" ca="1" si="2"/>
        <v>0</v>
      </c>
      <c r="J45">
        <f t="shared" ca="1" si="5"/>
        <v>1</v>
      </c>
    </row>
    <row r="46" spans="1:10">
      <c r="A46" s="316">
        <v>43</v>
      </c>
      <c r="B46" s="312">
        <f t="shared" ca="1" si="3"/>
        <v>0.65625</v>
      </c>
      <c r="C46" s="2">
        <v>6</v>
      </c>
      <c r="D46" s="165">
        <f>21/32</f>
        <v>0.65625</v>
      </c>
      <c r="E46" s="165">
        <f t="shared" ca="1" si="4"/>
        <v>27.481822265625002</v>
      </c>
      <c r="F46" s="165">
        <f t="shared" ca="1" si="2"/>
        <v>0</v>
      </c>
      <c r="J46">
        <f t="shared" ca="1" si="5"/>
        <v>1</v>
      </c>
    </row>
    <row r="47" spans="1:10">
      <c r="A47" s="316">
        <v>44</v>
      </c>
      <c r="B47" s="312">
        <f t="shared" ca="1" si="3"/>
        <v>0.625</v>
      </c>
      <c r="C47" s="2">
        <v>6</v>
      </c>
      <c r="D47" s="165">
        <f>20/32</f>
        <v>0.625</v>
      </c>
      <c r="E47" s="165">
        <f t="shared" ca="1" si="4"/>
        <v>26.1731640625</v>
      </c>
      <c r="F47" s="165">
        <f t="shared" ca="1" si="2"/>
        <v>0</v>
      </c>
      <c r="J47">
        <f t="shared" ca="1" si="5"/>
        <v>1</v>
      </c>
    </row>
    <row r="48" spans="1:10">
      <c r="A48" s="316">
        <v>45</v>
      </c>
      <c r="B48" s="312">
        <f t="shared" ca="1" si="3"/>
        <v>0.59375</v>
      </c>
      <c r="C48" s="2">
        <v>6</v>
      </c>
      <c r="D48" s="165">
        <f>19/32</f>
        <v>0.59375</v>
      </c>
      <c r="E48" s="165">
        <f t="shared" ca="1" si="4"/>
        <v>24.864505859375001</v>
      </c>
      <c r="F48" s="165">
        <f t="shared" ca="1" si="2"/>
        <v>0</v>
      </c>
      <c r="J48">
        <f t="shared" ca="1" si="5"/>
        <v>1</v>
      </c>
    </row>
    <row r="49" spans="1:10">
      <c r="A49" s="316">
        <v>46</v>
      </c>
      <c r="B49" s="312">
        <f t="shared" ca="1" si="3"/>
        <v>0.5625</v>
      </c>
      <c r="C49" s="2">
        <v>6</v>
      </c>
      <c r="D49" s="165">
        <f>18/32</f>
        <v>0.5625</v>
      </c>
      <c r="E49" s="165">
        <f t="shared" ca="1" si="4"/>
        <v>23.555847656250002</v>
      </c>
      <c r="F49" s="165">
        <f t="shared" ca="1" si="2"/>
        <v>0</v>
      </c>
      <c r="J49">
        <f t="shared" ca="1" si="5"/>
        <v>1</v>
      </c>
    </row>
    <row r="50" spans="1:10">
      <c r="A50" s="316">
        <v>47</v>
      </c>
      <c r="B50" s="312">
        <f t="shared" ca="1" si="3"/>
        <v>0.53125</v>
      </c>
      <c r="C50" s="2">
        <v>6</v>
      </c>
      <c r="D50" s="165">
        <f>17/32</f>
        <v>0.53125</v>
      </c>
      <c r="E50" s="165">
        <f t="shared" ca="1" si="4"/>
        <v>22.247189453124999</v>
      </c>
      <c r="F50" s="165">
        <f t="shared" ca="1" si="2"/>
        <v>0</v>
      </c>
      <c r="J50">
        <f t="shared" ca="1" si="5"/>
        <v>1</v>
      </c>
    </row>
    <row r="51" spans="1:10">
      <c r="A51" s="316">
        <v>48</v>
      </c>
      <c r="B51" s="312">
        <f t="shared" ca="1" si="3"/>
        <v>0.5</v>
      </c>
      <c r="C51" s="2">
        <v>6</v>
      </c>
      <c r="D51" s="165">
        <f>16/32</f>
        <v>0.5</v>
      </c>
      <c r="E51" s="165">
        <f t="shared" ca="1" si="4"/>
        <v>20.93853125</v>
      </c>
      <c r="F51" s="165">
        <f t="shared" ca="1" si="2"/>
        <v>0</v>
      </c>
      <c r="J51">
        <f t="shared" ca="1" si="5"/>
        <v>1</v>
      </c>
    </row>
    <row r="52" spans="1:10">
      <c r="A52" s="316">
        <v>49</v>
      </c>
      <c r="B52" s="312">
        <f t="shared" ca="1" si="3"/>
        <v>0.46875</v>
      </c>
      <c r="C52" s="2">
        <v>6</v>
      </c>
      <c r="D52" s="165">
        <f>15/32</f>
        <v>0.46875</v>
      </c>
      <c r="E52" s="165">
        <f t="shared" ca="1" si="4"/>
        <v>19.629873046875002</v>
      </c>
      <c r="F52" s="165">
        <f t="shared" ca="1" si="2"/>
        <v>0</v>
      </c>
      <c r="J52">
        <f t="shared" ca="1" si="5"/>
        <v>1</v>
      </c>
    </row>
    <row r="53" spans="1:10">
      <c r="A53" s="316">
        <v>50</v>
      </c>
      <c r="B53" s="312">
        <f t="shared" ca="1" si="3"/>
        <v>0.4375</v>
      </c>
      <c r="C53" s="2">
        <v>6</v>
      </c>
      <c r="D53" s="165">
        <f>14/32</f>
        <v>0.4375</v>
      </c>
      <c r="E53" s="165">
        <f t="shared" ca="1" si="4"/>
        <v>18.321214843749999</v>
      </c>
      <c r="F53" s="165">
        <f t="shared" ca="1" si="2"/>
        <v>0</v>
      </c>
      <c r="J53">
        <f t="shared" ca="1" si="5"/>
        <v>1</v>
      </c>
    </row>
    <row r="54" spans="1:10">
      <c r="A54" s="316">
        <v>51</v>
      </c>
      <c r="B54" s="312">
        <f t="shared" ca="1" si="3"/>
        <v>0.40625</v>
      </c>
      <c r="C54" s="2">
        <v>6</v>
      </c>
      <c r="D54" s="165">
        <f>13/32</f>
        <v>0.40625</v>
      </c>
      <c r="E54" s="165">
        <f t="shared" ca="1" si="4"/>
        <v>17.012556640625</v>
      </c>
      <c r="F54" s="165">
        <f t="shared" ca="1" si="2"/>
        <v>0</v>
      </c>
      <c r="J54">
        <f t="shared" ca="1" si="5"/>
        <v>1</v>
      </c>
    </row>
    <row r="55" spans="1:10">
      <c r="A55" s="316">
        <v>52</v>
      </c>
      <c r="B55" s="312">
        <f t="shared" ca="1" si="3"/>
        <v>0.375</v>
      </c>
      <c r="C55" s="2">
        <v>6</v>
      </c>
      <c r="D55" s="165">
        <f>12/32</f>
        <v>0.375</v>
      </c>
      <c r="E55" s="165">
        <f t="shared" ca="1" si="4"/>
        <v>15.703898437500001</v>
      </c>
      <c r="F55" s="165">
        <f t="shared" ca="1" si="2"/>
        <v>0</v>
      </c>
      <c r="J55">
        <f t="shared" ca="1" si="5"/>
        <v>1</v>
      </c>
    </row>
    <row r="56" spans="1:10">
      <c r="A56" s="316">
        <v>53</v>
      </c>
      <c r="B56" s="312">
        <f t="shared" ca="1" si="3"/>
        <v>0.34375</v>
      </c>
      <c r="C56" s="2">
        <v>6</v>
      </c>
      <c r="D56" s="165">
        <f>11/32</f>
        <v>0.34375</v>
      </c>
      <c r="E56" s="165">
        <f t="shared" ca="1" si="4"/>
        <v>14.395240234375001</v>
      </c>
      <c r="F56" s="165">
        <f t="shared" ca="1" si="2"/>
        <v>0</v>
      </c>
      <c r="J56">
        <f t="shared" ca="1" si="5"/>
        <v>1</v>
      </c>
    </row>
    <row r="57" spans="1:10">
      <c r="A57" s="316">
        <v>54</v>
      </c>
      <c r="B57" s="312">
        <f t="shared" ca="1" si="3"/>
        <v>0.3125</v>
      </c>
      <c r="C57" s="2">
        <v>6</v>
      </c>
      <c r="D57" s="165">
        <f>10/32</f>
        <v>0.3125</v>
      </c>
      <c r="E57" s="165">
        <f t="shared" ca="1" si="4"/>
        <v>13.08658203125</v>
      </c>
      <c r="F57" s="165">
        <f t="shared" ca="1" si="2"/>
        <v>0</v>
      </c>
      <c r="J57">
        <f t="shared" ca="1" si="5"/>
        <v>1</v>
      </c>
    </row>
    <row r="58" spans="1:10">
      <c r="A58" s="316">
        <v>55</v>
      </c>
      <c r="B58" s="312">
        <f t="shared" ca="1" si="3"/>
        <v>0.28125</v>
      </c>
      <c r="C58" s="2">
        <v>6</v>
      </c>
      <c r="D58" s="165">
        <f>9/32</f>
        <v>0.28125</v>
      </c>
      <c r="E58" s="165">
        <f t="shared" ca="1" si="4"/>
        <v>11.777923828125001</v>
      </c>
      <c r="F58" s="165">
        <f t="shared" ca="1" si="2"/>
        <v>0</v>
      </c>
      <c r="J58">
        <f t="shared" ca="1" si="5"/>
        <v>1</v>
      </c>
    </row>
    <row r="59" spans="1:10">
      <c r="A59" s="316">
        <v>56</v>
      </c>
      <c r="B59" s="312">
        <f t="shared" ca="1" si="3"/>
        <v>0.25</v>
      </c>
      <c r="C59" s="2">
        <v>6</v>
      </c>
      <c r="D59" s="165">
        <f>8/32</f>
        <v>0.25</v>
      </c>
      <c r="E59" s="165">
        <f t="shared" ca="1" si="4"/>
        <v>10.469265625</v>
      </c>
      <c r="F59" s="165">
        <f t="shared" ca="1" si="2"/>
        <v>0</v>
      </c>
      <c r="J59">
        <f t="shared" ca="1" si="5"/>
        <v>1</v>
      </c>
    </row>
    <row r="60" spans="1:10">
      <c r="A60" s="316">
        <v>57</v>
      </c>
      <c r="B60" s="312">
        <f t="shared" ca="1" si="3"/>
        <v>0.21875</v>
      </c>
      <c r="C60" s="2">
        <v>6</v>
      </c>
      <c r="D60" s="165">
        <f>7/32</f>
        <v>0.21875</v>
      </c>
      <c r="E60" s="165">
        <f t="shared" ca="1" si="4"/>
        <v>9.1606074218749995</v>
      </c>
      <c r="F60" s="165">
        <f t="shared" ca="1" si="2"/>
        <v>0</v>
      </c>
      <c r="J60">
        <f t="shared" ca="1" si="5"/>
        <v>1</v>
      </c>
    </row>
    <row r="61" spans="1:10">
      <c r="A61" s="316">
        <v>58</v>
      </c>
      <c r="B61" s="312">
        <f t="shared" ca="1" si="3"/>
        <v>0.1875</v>
      </c>
      <c r="C61" s="2">
        <v>6</v>
      </c>
      <c r="D61" s="165">
        <f>6/32</f>
        <v>0.1875</v>
      </c>
      <c r="E61" s="165">
        <f t="shared" ca="1" si="4"/>
        <v>7.8519492187500006</v>
      </c>
      <c r="F61" s="165">
        <f t="shared" ca="1" si="2"/>
        <v>0</v>
      </c>
      <c r="J61">
        <f t="shared" ca="1" si="5"/>
        <v>1</v>
      </c>
    </row>
    <row r="62" spans="1:10">
      <c r="A62" s="316">
        <v>59</v>
      </c>
      <c r="B62" s="312">
        <f t="shared" ca="1" si="3"/>
        <v>0.15625</v>
      </c>
      <c r="C62" s="2">
        <v>6</v>
      </c>
      <c r="D62" s="165">
        <f>5/32</f>
        <v>0.15625</v>
      </c>
      <c r="E62" s="165">
        <f t="shared" ca="1" si="4"/>
        <v>6.5432910156249999</v>
      </c>
      <c r="F62" s="165">
        <f t="shared" ca="1" si="2"/>
        <v>0</v>
      </c>
      <c r="J62">
        <f t="shared" ca="1" si="5"/>
        <v>1</v>
      </c>
    </row>
    <row r="63" spans="1:10">
      <c r="A63" s="316">
        <v>60</v>
      </c>
      <c r="B63" s="312">
        <f t="shared" ca="1" si="3"/>
        <v>0.125</v>
      </c>
      <c r="C63" s="2">
        <v>6</v>
      </c>
      <c r="D63" s="165">
        <f>4/32</f>
        <v>0.125</v>
      </c>
      <c r="E63" s="165">
        <f t="shared" ca="1" si="4"/>
        <v>5.2346328125000001</v>
      </c>
      <c r="F63" s="165">
        <f t="shared" ca="1" si="2"/>
        <v>0</v>
      </c>
      <c r="J63">
        <f t="shared" ca="1" si="5"/>
        <v>1</v>
      </c>
    </row>
    <row r="64" spans="1:10">
      <c r="A64" s="316">
        <v>61</v>
      </c>
      <c r="B64" s="312">
        <f t="shared" ca="1" si="3"/>
        <v>9.375E-2</v>
      </c>
      <c r="C64" s="2">
        <v>6</v>
      </c>
      <c r="D64" s="165">
        <f>3/32</f>
        <v>9.375E-2</v>
      </c>
      <c r="E64" s="165">
        <f t="shared" ca="1" si="4"/>
        <v>3.9259746093750003</v>
      </c>
      <c r="F64" s="165">
        <f t="shared" ca="1" si="2"/>
        <v>0</v>
      </c>
      <c r="J64">
        <f t="shared" ca="1" si="5"/>
        <v>1</v>
      </c>
    </row>
    <row r="65" spans="1:10">
      <c r="A65" s="316">
        <v>62</v>
      </c>
      <c r="B65" s="312">
        <f t="shared" ca="1" si="3"/>
        <v>6.25E-2</v>
      </c>
      <c r="C65" s="2">
        <v>6</v>
      </c>
      <c r="D65" s="165">
        <f>2/32</f>
        <v>6.25E-2</v>
      </c>
      <c r="E65" s="165">
        <f t="shared" ca="1" si="4"/>
        <v>2.6173164062500001</v>
      </c>
      <c r="F65" s="165">
        <f t="shared" ca="1" si="2"/>
        <v>0</v>
      </c>
      <c r="J65">
        <f t="shared" ca="1" si="5"/>
        <v>1</v>
      </c>
    </row>
    <row r="66" spans="1:10">
      <c r="A66" s="316">
        <v>63</v>
      </c>
      <c r="B66" s="312">
        <f t="shared" ca="1" si="3"/>
        <v>0</v>
      </c>
      <c r="C66" s="2">
        <v>6</v>
      </c>
      <c r="D66" s="165">
        <f>1/32</f>
        <v>3.125E-2</v>
      </c>
      <c r="E66" s="165">
        <f t="shared" ca="1" si="4"/>
        <v>1</v>
      </c>
      <c r="F66" s="165">
        <f t="shared" ca="1" si="2"/>
        <v>0</v>
      </c>
      <c r="J66">
        <f t="shared" ca="1" si="5"/>
        <v>0</v>
      </c>
    </row>
    <row r="67" spans="1:10">
      <c r="A67" s="316">
        <v>64</v>
      </c>
      <c r="B67" s="312">
        <f t="shared" ca="1" si="3"/>
        <v>0</v>
      </c>
      <c r="C67" s="2">
        <v>6</v>
      </c>
      <c r="D67" s="165">
        <v>0</v>
      </c>
      <c r="E67" s="165">
        <f t="shared" ca="1" si="4"/>
        <v>1</v>
      </c>
      <c r="F67" s="165">
        <f t="shared" ca="1" si="2"/>
        <v>0</v>
      </c>
      <c r="J67">
        <f t="shared" ca="1" si="5"/>
        <v>0</v>
      </c>
    </row>
    <row r="68" spans="1:10">
      <c r="A68" s="316">
        <v>65</v>
      </c>
      <c r="B68" s="312">
        <f t="shared" ca="1" si="3"/>
        <v>0</v>
      </c>
      <c r="E68" s="165">
        <f t="shared" ca="1" si="4"/>
        <v>1</v>
      </c>
      <c r="F68" s="165">
        <f t="shared" ca="1" si="2"/>
        <v>0</v>
      </c>
      <c r="J68">
        <f t="shared" ca="1" si="5"/>
        <v>0</v>
      </c>
    </row>
    <row r="69" spans="1:10">
      <c r="A69" s="316">
        <v>66</v>
      </c>
      <c r="B69" s="312">
        <f t="shared" ca="1" si="3"/>
        <v>0</v>
      </c>
      <c r="E69" s="165">
        <f t="shared" ca="1" si="4"/>
        <v>1</v>
      </c>
      <c r="F69" s="165">
        <f t="shared" ref="F69:F132" ca="1" si="6">IF(A69&lt;$I$3,$L$2,0)</f>
        <v>0</v>
      </c>
      <c r="J69">
        <f t="shared" ca="1" si="5"/>
        <v>0</v>
      </c>
    </row>
    <row r="70" spans="1:10">
      <c r="A70" s="316">
        <v>67</v>
      </c>
      <c r="B70" s="312">
        <f t="shared" ref="B70:B133" ca="1" si="7">J70*($H$3-C70+D70)</f>
        <v>0</v>
      </c>
      <c r="E70" s="165">
        <f t="shared" ca="1" si="4"/>
        <v>1</v>
      </c>
      <c r="F70" s="165">
        <f t="shared" ca="1" si="6"/>
        <v>0</v>
      </c>
      <c r="J70">
        <f t="shared" ca="1" si="5"/>
        <v>0</v>
      </c>
    </row>
    <row r="71" spans="1:10">
      <c r="A71" s="316">
        <v>68</v>
      </c>
      <c r="B71" s="312">
        <f t="shared" ca="1" si="7"/>
        <v>0</v>
      </c>
      <c r="E71" s="165">
        <f t="shared" ca="1" si="4"/>
        <v>1</v>
      </c>
      <c r="F71" s="165">
        <f t="shared" ca="1" si="6"/>
        <v>0</v>
      </c>
      <c r="J71">
        <f t="shared" ca="1" si="5"/>
        <v>0</v>
      </c>
    </row>
    <row r="72" spans="1:10">
      <c r="A72" s="316">
        <v>69</v>
      </c>
      <c r="B72" s="312">
        <f t="shared" ca="1" si="7"/>
        <v>0</v>
      </c>
      <c r="E72" s="165">
        <f t="shared" ca="1" si="4"/>
        <v>1</v>
      </c>
      <c r="F72" s="165">
        <f t="shared" ca="1" si="6"/>
        <v>0</v>
      </c>
      <c r="J72">
        <f t="shared" ca="1" si="5"/>
        <v>0</v>
      </c>
    </row>
    <row r="73" spans="1:10">
      <c r="A73" s="316">
        <v>70</v>
      </c>
      <c r="B73" s="312">
        <f t="shared" ca="1" si="7"/>
        <v>0</v>
      </c>
      <c r="E73" s="165">
        <f t="shared" ca="1" si="4"/>
        <v>1</v>
      </c>
      <c r="F73" s="165">
        <f t="shared" ca="1" si="6"/>
        <v>0</v>
      </c>
      <c r="J73">
        <f t="shared" ca="1" si="5"/>
        <v>0</v>
      </c>
    </row>
    <row r="74" spans="1:10">
      <c r="A74" s="316">
        <v>71</v>
      </c>
      <c r="B74" s="312">
        <f t="shared" ca="1" si="7"/>
        <v>0</v>
      </c>
      <c r="E74" s="165">
        <f t="shared" ca="1" si="4"/>
        <v>1</v>
      </c>
      <c r="F74" s="165">
        <f t="shared" ca="1" si="6"/>
        <v>0</v>
      </c>
      <c r="J74">
        <f t="shared" ca="1" si="5"/>
        <v>0</v>
      </c>
    </row>
    <row r="75" spans="1:10">
      <c r="A75" s="316">
        <v>72</v>
      </c>
      <c r="B75" s="312">
        <f t="shared" ca="1" si="7"/>
        <v>0</v>
      </c>
      <c r="E75" s="165">
        <f t="shared" ca="1" si="4"/>
        <v>1</v>
      </c>
      <c r="F75" s="165">
        <f t="shared" ca="1" si="6"/>
        <v>0</v>
      </c>
      <c r="J75">
        <f t="shared" ca="1" si="5"/>
        <v>0</v>
      </c>
    </row>
    <row r="76" spans="1:10">
      <c r="A76" s="316">
        <v>73</v>
      </c>
      <c r="B76" s="312">
        <f t="shared" ca="1" si="7"/>
        <v>0</v>
      </c>
      <c r="E76" s="165">
        <f t="shared" ca="1" si="4"/>
        <v>1</v>
      </c>
      <c r="F76" s="165">
        <f t="shared" ca="1" si="6"/>
        <v>0</v>
      </c>
      <c r="J76">
        <f t="shared" ca="1" si="5"/>
        <v>0</v>
      </c>
    </row>
    <row r="77" spans="1:10">
      <c r="A77" s="316">
        <v>74</v>
      </c>
      <c r="B77" s="312">
        <f t="shared" ca="1" si="7"/>
        <v>0</v>
      </c>
      <c r="E77" s="165">
        <f t="shared" ca="1" si="4"/>
        <v>1</v>
      </c>
      <c r="F77" s="165">
        <f t="shared" ca="1" si="6"/>
        <v>0</v>
      </c>
      <c r="J77">
        <f t="shared" ca="1" si="5"/>
        <v>0</v>
      </c>
    </row>
    <row r="78" spans="1:10">
      <c r="A78" s="316">
        <v>75</v>
      </c>
      <c r="B78" s="312">
        <f t="shared" ca="1" si="7"/>
        <v>0</v>
      </c>
      <c r="E78" s="165">
        <f t="shared" ca="1" si="4"/>
        <v>1</v>
      </c>
      <c r="F78" s="165">
        <f t="shared" ca="1" si="6"/>
        <v>0</v>
      </c>
      <c r="J78">
        <f t="shared" ca="1" si="5"/>
        <v>0</v>
      </c>
    </row>
    <row r="79" spans="1:10">
      <c r="A79" s="316">
        <v>76</v>
      </c>
      <c r="B79" s="312">
        <f t="shared" ca="1" si="7"/>
        <v>0</v>
      </c>
      <c r="E79" s="165">
        <f t="shared" ca="1" si="4"/>
        <v>1</v>
      </c>
      <c r="F79" s="165">
        <f t="shared" ca="1" si="6"/>
        <v>0</v>
      </c>
      <c r="J79">
        <f t="shared" ca="1" si="5"/>
        <v>0</v>
      </c>
    </row>
    <row r="80" spans="1:10">
      <c r="A80" s="316">
        <v>77</v>
      </c>
      <c r="B80" s="312">
        <f t="shared" ca="1" si="7"/>
        <v>0</v>
      </c>
      <c r="E80" s="165">
        <f t="shared" ca="1" si="4"/>
        <v>1</v>
      </c>
      <c r="F80" s="165">
        <f t="shared" ca="1" si="6"/>
        <v>0</v>
      </c>
      <c r="J80">
        <f t="shared" ca="1" si="5"/>
        <v>0</v>
      </c>
    </row>
    <row r="81" spans="1:10">
      <c r="A81" s="316">
        <v>78</v>
      </c>
      <c r="B81" s="312">
        <f t="shared" ca="1" si="7"/>
        <v>0</v>
      </c>
      <c r="E81" s="165">
        <f t="shared" ca="1" si="4"/>
        <v>1</v>
      </c>
      <c r="F81" s="165">
        <f t="shared" ca="1" si="6"/>
        <v>0</v>
      </c>
      <c r="J81">
        <f t="shared" ca="1" si="5"/>
        <v>0</v>
      </c>
    </row>
    <row r="82" spans="1:10">
      <c r="A82" s="316">
        <v>79</v>
      </c>
      <c r="B82" s="312">
        <f t="shared" ca="1" si="7"/>
        <v>0</v>
      </c>
      <c r="E82" s="165">
        <f t="shared" ca="1" si="4"/>
        <v>1</v>
      </c>
      <c r="F82" s="165">
        <f t="shared" ca="1" si="6"/>
        <v>0</v>
      </c>
      <c r="J82">
        <f t="shared" ca="1" si="5"/>
        <v>0</v>
      </c>
    </row>
    <row r="83" spans="1:10">
      <c r="A83" s="316">
        <v>80</v>
      </c>
      <c r="B83" s="312">
        <f t="shared" ca="1" si="7"/>
        <v>0</v>
      </c>
      <c r="E83" s="165">
        <f t="shared" ca="1" si="4"/>
        <v>1</v>
      </c>
      <c r="F83" s="165">
        <f t="shared" ca="1" si="6"/>
        <v>0</v>
      </c>
      <c r="J83">
        <f t="shared" ca="1" si="5"/>
        <v>0</v>
      </c>
    </row>
    <row r="84" spans="1:10">
      <c r="A84" s="316">
        <v>81</v>
      </c>
      <c r="B84" s="312">
        <f t="shared" ca="1" si="7"/>
        <v>0</v>
      </c>
      <c r="E84" s="165">
        <f t="shared" ca="1" si="4"/>
        <v>1</v>
      </c>
      <c r="F84" s="165">
        <f t="shared" ca="1" si="6"/>
        <v>0</v>
      </c>
      <c r="J84">
        <f t="shared" ca="1" si="5"/>
        <v>0</v>
      </c>
    </row>
    <row r="85" spans="1:10">
      <c r="A85" s="316">
        <v>82</v>
      </c>
      <c r="B85" s="312">
        <f t="shared" ca="1" si="7"/>
        <v>0</v>
      </c>
      <c r="E85" s="165">
        <f t="shared" ca="1" si="4"/>
        <v>1</v>
      </c>
      <c r="F85" s="165">
        <f t="shared" ca="1" si="6"/>
        <v>0</v>
      </c>
      <c r="J85">
        <f t="shared" ca="1" si="5"/>
        <v>0</v>
      </c>
    </row>
    <row r="86" spans="1:10">
      <c r="A86" s="316">
        <v>83</v>
      </c>
      <c r="B86" s="312">
        <f t="shared" ca="1" si="7"/>
        <v>0</v>
      </c>
      <c r="E86" s="165">
        <f t="shared" ca="1" si="4"/>
        <v>1</v>
      </c>
      <c r="F86" s="165">
        <f t="shared" ca="1" si="6"/>
        <v>0</v>
      </c>
      <c r="J86">
        <f t="shared" ca="1" si="5"/>
        <v>0</v>
      </c>
    </row>
    <row r="87" spans="1:10">
      <c r="A87" s="316">
        <v>84</v>
      </c>
      <c r="B87" s="312">
        <f t="shared" ca="1" si="7"/>
        <v>0</v>
      </c>
      <c r="E87" s="165">
        <f t="shared" ca="1" si="4"/>
        <v>1</v>
      </c>
      <c r="F87" s="165">
        <f t="shared" ca="1" si="6"/>
        <v>0</v>
      </c>
      <c r="J87">
        <f t="shared" ca="1" si="5"/>
        <v>0</v>
      </c>
    </row>
    <row r="88" spans="1:10">
      <c r="A88" s="316">
        <v>85</v>
      </c>
      <c r="B88" s="312">
        <f t="shared" ca="1" si="7"/>
        <v>0</v>
      </c>
      <c r="E88" s="165">
        <f t="shared" ca="1" si="4"/>
        <v>1</v>
      </c>
      <c r="F88" s="165">
        <f t="shared" ca="1" si="6"/>
        <v>0</v>
      </c>
      <c r="J88">
        <f t="shared" ca="1" si="5"/>
        <v>0</v>
      </c>
    </row>
    <row r="89" spans="1:10">
      <c r="A89" s="316">
        <v>86</v>
      </c>
      <c r="B89" s="312">
        <f t="shared" ca="1" si="7"/>
        <v>0</v>
      </c>
      <c r="E89" s="165">
        <f t="shared" ca="1" si="4"/>
        <v>1</v>
      </c>
      <c r="F89" s="165">
        <f t="shared" ca="1" si="6"/>
        <v>0</v>
      </c>
      <c r="J89">
        <f t="shared" ca="1" si="5"/>
        <v>0</v>
      </c>
    </row>
    <row r="90" spans="1:10">
      <c r="A90" s="316">
        <v>87</v>
      </c>
      <c r="B90" s="312">
        <f t="shared" ca="1" si="7"/>
        <v>0</v>
      </c>
      <c r="E90" s="165">
        <f t="shared" ref="E90:E153" ca="1" si="8">J90*(B90*$L$1+F90)-(J90-1)*$L$3</f>
        <v>1</v>
      </c>
      <c r="F90" s="165">
        <f t="shared" ca="1" si="6"/>
        <v>0</v>
      </c>
      <c r="J90">
        <f t="shared" ca="1" si="5"/>
        <v>0</v>
      </c>
    </row>
    <row r="91" spans="1:10">
      <c r="A91" s="316">
        <v>88</v>
      </c>
      <c r="B91" s="312">
        <f t="shared" ca="1" si="7"/>
        <v>0</v>
      </c>
      <c r="E91" s="165">
        <f t="shared" ca="1" si="8"/>
        <v>1</v>
      </c>
      <c r="F91" s="165">
        <f t="shared" ca="1" si="6"/>
        <v>0</v>
      </c>
      <c r="J91">
        <f t="shared" ref="J91:J154" ca="1" si="9">IF($I$3&lt;=A91,0,1)</f>
        <v>0</v>
      </c>
    </row>
    <row r="92" spans="1:10">
      <c r="A92" s="316">
        <v>89</v>
      </c>
      <c r="B92" s="312">
        <f t="shared" ca="1" si="7"/>
        <v>0</v>
      </c>
      <c r="E92" s="165">
        <f t="shared" ca="1" si="8"/>
        <v>1</v>
      </c>
      <c r="F92" s="165">
        <f t="shared" ca="1" si="6"/>
        <v>0</v>
      </c>
      <c r="J92">
        <f t="shared" ca="1" si="9"/>
        <v>0</v>
      </c>
    </row>
    <row r="93" spans="1:10">
      <c r="A93" s="316">
        <v>90</v>
      </c>
      <c r="B93" s="312">
        <f t="shared" ca="1" si="7"/>
        <v>0</v>
      </c>
      <c r="E93" s="165">
        <f t="shared" ca="1" si="8"/>
        <v>1</v>
      </c>
      <c r="F93" s="165">
        <f t="shared" ca="1" si="6"/>
        <v>0</v>
      </c>
      <c r="J93">
        <f t="shared" ca="1" si="9"/>
        <v>0</v>
      </c>
    </row>
    <row r="94" spans="1:10">
      <c r="A94" s="316">
        <v>91</v>
      </c>
      <c r="B94" s="312">
        <f t="shared" ca="1" si="7"/>
        <v>0</v>
      </c>
      <c r="E94" s="165">
        <f t="shared" ca="1" si="8"/>
        <v>1</v>
      </c>
      <c r="F94" s="165">
        <f t="shared" ca="1" si="6"/>
        <v>0</v>
      </c>
      <c r="J94">
        <f t="shared" ca="1" si="9"/>
        <v>0</v>
      </c>
    </row>
    <row r="95" spans="1:10">
      <c r="A95" s="316">
        <v>92</v>
      </c>
      <c r="B95" s="312">
        <f t="shared" ca="1" si="7"/>
        <v>0</v>
      </c>
      <c r="E95" s="165">
        <f t="shared" ca="1" si="8"/>
        <v>1</v>
      </c>
      <c r="F95" s="165">
        <f t="shared" ca="1" si="6"/>
        <v>0</v>
      </c>
      <c r="J95">
        <f t="shared" ca="1" si="9"/>
        <v>0</v>
      </c>
    </row>
    <row r="96" spans="1:10">
      <c r="A96" s="316">
        <v>93</v>
      </c>
      <c r="B96" s="312">
        <f t="shared" ca="1" si="7"/>
        <v>0</v>
      </c>
      <c r="E96" s="165">
        <f t="shared" ca="1" si="8"/>
        <v>1</v>
      </c>
      <c r="F96" s="165">
        <f t="shared" ca="1" si="6"/>
        <v>0</v>
      </c>
      <c r="J96">
        <f t="shared" ca="1" si="9"/>
        <v>0</v>
      </c>
    </row>
    <row r="97" spans="1:10">
      <c r="A97" s="316">
        <v>94</v>
      </c>
      <c r="B97" s="312">
        <f t="shared" ca="1" si="7"/>
        <v>0</v>
      </c>
      <c r="E97" s="165">
        <f t="shared" ca="1" si="8"/>
        <v>1</v>
      </c>
      <c r="F97" s="165">
        <f t="shared" ca="1" si="6"/>
        <v>0</v>
      </c>
      <c r="J97">
        <f t="shared" ca="1" si="9"/>
        <v>0</v>
      </c>
    </row>
    <row r="98" spans="1:10">
      <c r="A98" s="316">
        <v>95</v>
      </c>
      <c r="B98" s="312">
        <f t="shared" ca="1" si="7"/>
        <v>0</v>
      </c>
      <c r="E98" s="165">
        <f t="shared" ca="1" si="8"/>
        <v>1</v>
      </c>
      <c r="F98" s="165">
        <f t="shared" ca="1" si="6"/>
        <v>0</v>
      </c>
      <c r="J98">
        <f t="shared" ca="1" si="9"/>
        <v>0</v>
      </c>
    </row>
    <row r="99" spans="1:10">
      <c r="A99" s="316">
        <v>96</v>
      </c>
      <c r="B99" s="312">
        <f t="shared" ca="1" si="7"/>
        <v>0</v>
      </c>
      <c r="E99" s="165">
        <f t="shared" ca="1" si="8"/>
        <v>1</v>
      </c>
      <c r="F99" s="165">
        <f t="shared" ca="1" si="6"/>
        <v>0</v>
      </c>
      <c r="J99">
        <f t="shared" ca="1" si="9"/>
        <v>0</v>
      </c>
    </row>
    <row r="100" spans="1:10">
      <c r="A100" s="316">
        <v>97</v>
      </c>
      <c r="B100" s="312">
        <f t="shared" ca="1" si="7"/>
        <v>0</v>
      </c>
      <c r="E100" s="165">
        <f t="shared" ca="1" si="8"/>
        <v>1</v>
      </c>
      <c r="F100" s="165">
        <f t="shared" ca="1" si="6"/>
        <v>0</v>
      </c>
      <c r="J100">
        <f t="shared" ca="1" si="9"/>
        <v>0</v>
      </c>
    </row>
    <row r="101" spans="1:10">
      <c r="A101" s="316">
        <v>98</v>
      </c>
      <c r="B101" s="312">
        <f t="shared" ca="1" si="7"/>
        <v>0</v>
      </c>
      <c r="E101" s="165">
        <f t="shared" ca="1" si="8"/>
        <v>1</v>
      </c>
      <c r="F101" s="165">
        <f t="shared" ca="1" si="6"/>
        <v>0</v>
      </c>
      <c r="J101">
        <f t="shared" ca="1" si="9"/>
        <v>0</v>
      </c>
    </row>
    <row r="102" spans="1:10">
      <c r="A102" s="316">
        <v>99</v>
      </c>
      <c r="B102" s="312">
        <f t="shared" ca="1" si="7"/>
        <v>0</v>
      </c>
      <c r="E102" s="165">
        <f t="shared" ca="1" si="8"/>
        <v>1</v>
      </c>
      <c r="F102" s="165">
        <f t="shared" ca="1" si="6"/>
        <v>0</v>
      </c>
      <c r="J102">
        <f t="shared" ca="1" si="9"/>
        <v>0</v>
      </c>
    </row>
    <row r="103" spans="1:10">
      <c r="A103" s="316">
        <v>100</v>
      </c>
      <c r="B103" s="312">
        <f t="shared" ca="1" si="7"/>
        <v>0</v>
      </c>
      <c r="E103" s="165">
        <f t="shared" ca="1" si="8"/>
        <v>1</v>
      </c>
      <c r="F103" s="165">
        <f t="shared" ca="1" si="6"/>
        <v>0</v>
      </c>
      <c r="J103">
        <f t="shared" ca="1" si="9"/>
        <v>0</v>
      </c>
    </row>
    <row r="104" spans="1:10">
      <c r="A104" s="316">
        <v>101</v>
      </c>
      <c r="B104" s="312">
        <f t="shared" ca="1" si="7"/>
        <v>0</v>
      </c>
      <c r="E104" s="165">
        <f t="shared" ca="1" si="8"/>
        <v>1</v>
      </c>
      <c r="F104" s="165">
        <f t="shared" ca="1" si="6"/>
        <v>0</v>
      </c>
      <c r="J104">
        <f t="shared" ca="1" si="9"/>
        <v>0</v>
      </c>
    </row>
    <row r="105" spans="1:10">
      <c r="A105" s="316">
        <v>102</v>
      </c>
      <c r="B105" s="312">
        <f t="shared" ca="1" si="7"/>
        <v>0</v>
      </c>
      <c r="E105" s="165">
        <f t="shared" ca="1" si="8"/>
        <v>1</v>
      </c>
      <c r="F105" s="165">
        <f t="shared" ca="1" si="6"/>
        <v>0</v>
      </c>
      <c r="J105">
        <f t="shared" ca="1" si="9"/>
        <v>0</v>
      </c>
    </row>
    <row r="106" spans="1:10">
      <c r="A106" s="316">
        <v>103</v>
      </c>
      <c r="B106" s="312">
        <f t="shared" ca="1" si="7"/>
        <v>0</v>
      </c>
      <c r="E106" s="165">
        <f t="shared" ca="1" si="8"/>
        <v>1</v>
      </c>
      <c r="F106" s="165">
        <f t="shared" ca="1" si="6"/>
        <v>0</v>
      </c>
      <c r="J106">
        <f t="shared" ca="1" si="9"/>
        <v>0</v>
      </c>
    </row>
    <row r="107" spans="1:10">
      <c r="A107" s="316">
        <v>104</v>
      </c>
      <c r="B107" s="312">
        <f t="shared" ca="1" si="7"/>
        <v>0</v>
      </c>
      <c r="E107" s="165">
        <f t="shared" ca="1" si="8"/>
        <v>1</v>
      </c>
      <c r="F107" s="165">
        <f t="shared" ca="1" si="6"/>
        <v>0</v>
      </c>
      <c r="J107">
        <f t="shared" ca="1" si="9"/>
        <v>0</v>
      </c>
    </row>
    <row r="108" spans="1:10">
      <c r="A108" s="316">
        <v>105</v>
      </c>
      <c r="B108" s="312">
        <f t="shared" ca="1" si="7"/>
        <v>0</v>
      </c>
      <c r="E108" s="165">
        <f t="shared" ca="1" si="8"/>
        <v>1</v>
      </c>
      <c r="F108" s="165">
        <f t="shared" ca="1" si="6"/>
        <v>0</v>
      </c>
      <c r="J108">
        <f t="shared" ca="1" si="9"/>
        <v>0</v>
      </c>
    </row>
    <row r="109" spans="1:10">
      <c r="A109" s="316">
        <v>106</v>
      </c>
      <c r="B109" s="312">
        <f t="shared" ca="1" si="7"/>
        <v>0</v>
      </c>
      <c r="E109" s="165">
        <f t="shared" ca="1" si="8"/>
        <v>1</v>
      </c>
      <c r="F109" s="165">
        <f t="shared" ca="1" si="6"/>
        <v>0</v>
      </c>
      <c r="J109">
        <f t="shared" ca="1" si="9"/>
        <v>0</v>
      </c>
    </row>
    <row r="110" spans="1:10">
      <c r="A110" s="316">
        <v>107</v>
      </c>
      <c r="B110" s="312">
        <f t="shared" ca="1" si="7"/>
        <v>0</v>
      </c>
      <c r="E110" s="165">
        <f t="shared" ca="1" si="8"/>
        <v>1</v>
      </c>
      <c r="F110" s="165">
        <f t="shared" ca="1" si="6"/>
        <v>0</v>
      </c>
      <c r="J110">
        <f t="shared" ca="1" si="9"/>
        <v>0</v>
      </c>
    </row>
    <row r="111" spans="1:10">
      <c r="A111" s="316">
        <v>108</v>
      </c>
      <c r="B111" s="312">
        <f t="shared" ca="1" si="7"/>
        <v>0</v>
      </c>
      <c r="E111" s="165">
        <f t="shared" ca="1" si="8"/>
        <v>1</v>
      </c>
      <c r="F111" s="165">
        <f t="shared" ca="1" si="6"/>
        <v>0</v>
      </c>
      <c r="J111">
        <f t="shared" ca="1" si="9"/>
        <v>0</v>
      </c>
    </row>
    <row r="112" spans="1:10">
      <c r="A112" s="316">
        <v>109</v>
      </c>
      <c r="B112" s="312">
        <f t="shared" ca="1" si="7"/>
        <v>0</v>
      </c>
      <c r="E112" s="165">
        <f t="shared" ca="1" si="8"/>
        <v>1</v>
      </c>
      <c r="F112" s="165">
        <f t="shared" ca="1" si="6"/>
        <v>0</v>
      </c>
      <c r="J112">
        <f t="shared" ca="1" si="9"/>
        <v>0</v>
      </c>
    </row>
    <row r="113" spans="1:10">
      <c r="A113" s="316">
        <v>110</v>
      </c>
      <c r="B113" s="312">
        <f t="shared" ca="1" si="7"/>
        <v>0</v>
      </c>
      <c r="E113" s="165">
        <f t="shared" ca="1" si="8"/>
        <v>1</v>
      </c>
      <c r="F113" s="165">
        <f t="shared" ca="1" si="6"/>
        <v>0</v>
      </c>
      <c r="J113">
        <f t="shared" ca="1" si="9"/>
        <v>0</v>
      </c>
    </row>
    <row r="114" spans="1:10">
      <c r="A114" s="316">
        <v>111</v>
      </c>
      <c r="B114" s="312">
        <f t="shared" ca="1" si="7"/>
        <v>0</v>
      </c>
      <c r="E114" s="165">
        <f t="shared" ca="1" si="8"/>
        <v>1</v>
      </c>
      <c r="F114" s="165">
        <f t="shared" ca="1" si="6"/>
        <v>0</v>
      </c>
      <c r="J114">
        <f t="shared" ca="1" si="9"/>
        <v>0</v>
      </c>
    </row>
    <row r="115" spans="1:10">
      <c r="A115" s="316">
        <v>112</v>
      </c>
      <c r="B115" s="312">
        <f t="shared" ca="1" si="7"/>
        <v>0</v>
      </c>
      <c r="E115" s="165">
        <f t="shared" ca="1" si="8"/>
        <v>1</v>
      </c>
      <c r="F115" s="165">
        <f t="shared" ca="1" si="6"/>
        <v>0</v>
      </c>
      <c r="J115">
        <f t="shared" ca="1" si="9"/>
        <v>0</v>
      </c>
    </row>
    <row r="116" spans="1:10">
      <c r="A116" s="316">
        <v>113</v>
      </c>
      <c r="B116" s="312">
        <f t="shared" ca="1" si="7"/>
        <v>0</v>
      </c>
      <c r="E116" s="165">
        <f t="shared" ca="1" si="8"/>
        <v>1</v>
      </c>
      <c r="F116" s="165">
        <f t="shared" ca="1" si="6"/>
        <v>0</v>
      </c>
      <c r="J116">
        <f t="shared" ca="1" si="9"/>
        <v>0</v>
      </c>
    </row>
    <row r="117" spans="1:10">
      <c r="A117" s="316">
        <v>114</v>
      </c>
      <c r="B117" s="312">
        <f t="shared" ca="1" si="7"/>
        <v>0</v>
      </c>
      <c r="E117" s="165">
        <f t="shared" ca="1" si="8"/>
        <v>1</v>
      </c>
      <c r="F117" s="165">
        <f t="shared" ca="1" si="6"/>
        <v>0</v>
      </c>
      <c r="J117">
        <f t="shared" ca="1" si="9"/>
        <v>0</v>
      </c>
    </row>
    <row r="118" spans="1:10">
      <c r="A118" s="316">
        <v>115</v>
      </c>
      <c r="B118" s="312">
        <f t="shared" ca="1" si="7"/>
        <v>0</v>
      </c>
      <c r="E118" s="165">
        <f t="shared" ca="1" si="8"/>
        <v>1</v>
      </c>
      <c r="F118" s="165">
        <f t="shared" ca="1" si="6"/>
        <v>0</v>
      </c>
      <c r="J118">
        <f t="shared" ca="1" si="9"/>
        <v>0</v>
      </c>
    </row>
    <row r="119" spans="1:10">
      <c r="A119" s="316">
        <v>116</v>
      </c>
      <c r="B119" s="312">
        <f t="shared" ca="1" si="7"/>
        <v>0</v>
      </c>
      <c r="E119" s="165">
        <f t="shared" ca="1" si="8"/>
        <v>1</v>
      </c>
      <c r="F119" s="165">
        <f t="shared" ca="1" si="6"/>
        <v>0</v>
      </c>
      <c r="J119">
        <f t="shared" ca="1" si="9"/>
        <v>0</v>
      </c>
    </row>
    <row r="120" spans="1:10">
      <c r="A120" s="316">
        <v>117</v>
      </c>
      <c r="B120" s="312">
        <f t="shared" ca="1" si="7"/>
        <v>0</v>
      </c>
      <c r="E120" s="165">
        <f t="shared" ca="1" si="8"/>
        <v>1</v>
      </c>
      <c r="F120" s="165">
        <f t="shared" ca="1" si="6"/>
        <v>0</v>
      </c>
      <c r="J120">
        <f t="shared" ca="1" si="9"/>
        <v>0</v>
      </c>
    </row>
    <row r="121" spans="1:10">
      <c r="A121" s="316">
        <v>118</v>
      </c>
      <c r="B121" s="312">
        <f t="shared" ca="1" si="7"/>
        <v>0</v>
      </c>
      <c r="E121" s="165">
        <f t="shared" ca="1" si="8"/>
        <v>1</v>
      </c>
      <c r="F121" s="165">
        <f t="shared" ca="1" si="6"/>
        <v>0</v>
      </c>
      <c r="J121">
        <f t="shared" ca="1" si="9"/>
        <v>0</v>
      </c>
    </row>
    <row r="122" spans="1:10">
      <c r="A122" s="316">
        <v>119</v>
      </c>
      <c r="B122" s="312">
        <f t="shared" ca="1" si="7"/>
        <v>0</v>
      </c>
      <c r="E122" s="165">
        <f t="shared" ca="1" si="8"/>
        <v>1</v>
      </c>
      <c r="F122" s="165">
        <f t="shared" ca="1" si="6"/>
        <v>0</v>
      </c>
      <c r="J122">
        <f t="shared" ca="1" si="9"/>
        <v>0</v>
      </c>
    </row>
    <row r="123" spans="1:10">
      <c r="A123" s="316">
        <v>120</v>
      </c>
      <c r="B123" s="312">
        <f t="shared" ca="1" si="7"/>
        <v>0</v>
      </c>
      <c r="E123" s="165">
        <f t="shared" ca="1" si="8"/>
        <v>1</v>
      </c>
      <c r="F123" s="165">
        <f t="shared" ca="1" si="6"/>
        <v>0</v>
      </c>
      <c r="J123">
        <f t="shared" ca="1" si="9"/>
        <v>0</v>
      </c>
    </row>
    <row r="124" spans="1:10">
      <c r="A124" s="316">
        <v>121</v>
      </c>
      <c r="B124" s="312">
        <f t="shared" ca="1" si="7"/>
        <v>0</v>
      </c>
      <c r="E124" s="165">
        <f t="shared" ca="1" si="8"/>
        <v>1</v>
      </c>
      <c r="F124" s="165">
        <f t="shared" ca="1" si="6"/>
        <v>0</v>
      </c>
      <c r="J124">
        <f t="shared" ca="1" si="9"/>
        <v>0</v>
      </c>
    </row>
    <row r="125" spans="1:10">
      <c r="A125" s="316">
        <v>122</v>
      </c>
      <c r="B125" s="312">
        <f t="shared" ca="1" si="7"/>
        <v>0</v>
      </c>
      <c r="E125" s="165">
        <f t="shared" ca="1" si="8"/>
        <v>1</v>
      </c>
      <c r="F125" s="165">
        <f t="shared" ca="1" si="6"/>
        <v>0</v>
      </c>
      <c r="J125">
        <f t="shared" ca="1" si="9"/>
        <v>0</v>
      </c>
    </row>
    <row r="126" spans="1:10">
      <c r="A126" s="316">
        <v>123</v>
      </c>
      <c r="B126" s="312">
        <f t="shared" ca="1" si="7"/>
        <v>0</v>
      </c>
      <c r="E126" s="165">
        <f t="shared" ca="1" si="8"/>
        <v>1</v>
      </c>
      <c r="F126" s="165">
        <f t="shared" ca="1" si="6"/>
        <v>0</v>
      </c>
      <c r="J126">
        <f t="shared" ca="1" si="9"/>
        <v>0</v>
      </c>
    </row>
    <row r="127" spans="1:10">
      <c r="A127" s="316">
        <v>124</v>
      </c>
      <c r="B127" s="312">
        <f t="shared" ca="1" si="7"/>
        <v>0</v>
      </c>
      <c r="E127" s="165">
        <f t="shared" ca="1" si="8"/>
        <v>1</v>
      </c>
      <c r="F127" s="165">
        <f t="shared" ca="1" si="6"/>
        <v>0</v>
      </c>
      <c r="J127">
        <f t="shared" ca="1" si="9"/>
        <v>0</v>
      </c>
    </row>
    <row r="128" spans="1:10">
      <c r="A128" s="316">
        <v>125</v>
      </c>
      <c r="B128" s="312">
        <f t="shared" ca="1" si="7"/>
        <v>0</v>
      </c>
      <c r="E128" s="165">
        <f t="shared" ca="1" si="8"/>
        <v>1</v>
      </c>
      <c r="F128" s="165">
        <f t="shared" ca="1" si="6"/>
        <v>0</v>
      </c>
      <c r="J128">
        <f t="shared" ca="1" si="9"/>
        <v>0</v>
      </c>
    </row>
    <row r="129" spans="1:10">
      <c r="A129" s="316">
        <v>126</v>
      </c>
      <c r="B129" s="312">
        <f t="shared" ca="1" si="7"/>
        <v>0</v>
      </c>
      <c r="E129" s="165">
        <f t="shared" ca="1" si="8"/>
        <v>1</v>
      </c>
      <c r="F129" s="165">
        <f t="shared" ca="1" si="6"/>
        <v>0</v>
      </c>
      <c r="J129">
        <f t="shared" ca="1" si="9"/>
        <v>0</v>
      </c>
    </row>
    <row r="130" spans="1:10">
      <c r="A130" s="316">
        <v>127</v>
      </c>
      <c r="B130" s="312">
        <f t="shared" ca="1" si="7"/>
        <v>0</v>
      </c>
      <c r="E130" s="165">
        <f t="shared" ca="1" si="8"/>
        <v>1</v>
      </c>
      <c r="F130" s="165">
        <f t="shared" ca="1" si="6"/>
        <v>0</v>
      </c>
      <c r="J130">
        <f t="shared" ca="1" si="9"/>
        <v>0</v>
      </c>
    </row>
    <row r="131" spans="1:10">
      <c r="A131" s="316">
        <v>128</v>
      </c>
      <c r="B131" s="312">
        <f t="shared" ca="1" si="7"/>
        <v>0</v>
      </c>
      <c r="E131" s="165">
        <f t="shared" ca="1" si="8"/>
        <v>1</v>
      </c>
      <c r="F131" s="165">
        <f t="shared" ca="1" si="6"/>
        <v>0</v>
      </c>
      <c r="J131">
        <f t="shared" ca="1" si="9"/>
        <v>0</v>
      </c>
    </row>
    <row r="132" spans="1:10">
      <c r="A132" s="316">
        <v>129</v>
      </c>
      <c r="B132" s="312">
        <f t="shared" ca="1" si="7"/>
        <v>0</v>
      </c>
      <c r="E132" s="165">
        <f t="shared" ca="1" si="8"/>
        <v>1</v>
      </c>
      <c r="F132" s="165">
        <f t="shared" ca="1" si="6"/>
        <v>0</v>
      </c>
      <c r="J132">
        <f t="shared" ca="1" si="9"/>
        <v>0</v>
      </c>
    </row>
    <row r="133" spans="1:10">
      <c r="A133" s="316">
        <v>130</v>
      </c>
      <c r="B133" s="312">
        <f t="shared" ca="1" si="7"/>
        <v>0</v>
      </c>
      <c r="E133" s="165">
        <f t="shared" ca="1" si="8"/>
        <v>1</v>
      </c>
      <c r="F133" s="165">
        <f t="shared" ref="F133:F196" ca="1" si="10">IF(A133&lt;$I$3,$L$2,0)</f>
        <v>0</v>
      </c>
      <c r="J133">
        <f t="shared" ca="1" si="9"/>
        <v>0</v>
      </c>
    </row>
    <row r="134" spans="1:10">
      <c r="A134" s="316">
        <v>131</v>
      </c>
      <c r="B134" s="312">
        <f t="shared" ref="B134:B197" ca="1" si="11">J134*($H$3-C134+D134)</f>
        <v>0</v>
      </c>
      <c r="E134" s="165">
        <f t="shared" ca="1" si="8"/>
        <v>1</v>
      </c>
      <c r="F134" s="165">
        <f t="shared" ca="1" si="10"/>
        <v>0</v>
      </c>
      <c r="J134">
        <f t="shared" ca="1" si="9"/>
        <v>0</v>
      </c>
    </row>
    <row r="135" spans="1:10">
      <c r="A135" s="316">
        <v>132</v>
      </c>
      <c r="B135" s="312">
        <f t="shared" ca="1" si="11"/>
        <v>0</v>
      </c>
      <c r="E135" s="165">
        <f t="shared" ca="1" si="8"/>
        <v>1</v>
      </c>
      <c r="F135" s="165">
        <f t="shared" ca="1" si="10"/>
        <v>0</v>
      </c>
      <c r="J135">
        <f t="shared" ca="1" si="9"/>
        <v>0</v>
      </c>
    </row>
    <row r="136" spans="1:10">
      <c r="A136" s="316">
        <v>133</v>
      </c>
      <c r="B136" s="312">
        <f t="shared" ca="1" si="11"/>
        <v>0</v>
      </c>
      <c r="E136" s="165">
        <f t="shared" ca="1" si="8"/>
        <v>1</v>
      </c>
      <c r="F136" s="165">
        <f t="shared" ca="1" si="10"/>
        <v>0</v>
      </c>
      <c r="J136">
        <f t="shared" ca="1" si="9"/>
        <v>0</v>
      </c>
    </row>
    <row r="137" spans="1:10">
      <c r="A137" s="316">
        <v>134</v>
      </c>
      <c r="B137" s="312">
        <f t="shared" ca="1" si="11"/>
        <v>0</v>
      </c>
      <c r="E137" s="165">
        <f t="shared" ca="1" si="8"/>
        <v>1</v>
      </c>
      <c r="F137" s="165">
        <f t="shared" ca="1" si="10"/>
        <v>0</v>
      </c>
      <c r="J137">
        <f t="shared" ca="1" si="9"/>
        <v>0</v>
      </c>
    </row>
    <row r="138" spans="1:10">
      <c r="A138" s="316">
        <v>135</v>
      </c>
      <c r="B138" s="312">
        <f t="shared" ca="1" si="11"/>
        <v>0</v>
      </c>
      <c r="E138" s="165">
        <f t="shared" ca="1" si="8"/>
        <v>1</v>
      </c>
      <c r="F138" s="165">
        <f t="shared" ca="1" si="10"/>
        <v>0</v>
      </c>
      <c r="J138">
        <f t="shared" ca="1" si="9"/>
        <v>0</v>
      </c>
    </row>
    <row r="139" spans="1:10">
      <c r="A139" s="316">
        <v>136</v>
      </c>
      <c r="B139" s="312">
        <f t="shared" ca="1" si="11"/>
        <v>0</v>
      </c>
      <c r="E139" s="165">
        <f t="shared" ca="1" si="8"/>
        <v>1</v>
      </c>
      <c r="F139" s="165">
        <f t="shared" ca="1" si="10"/>
        <v>0</v>
      </c>
      <c r="J139">
        <f t="shared" ca="1" si="9"/>
        <v>0</v>
      </c>
    </row>
    <row r="140" spans="1:10">
      <c r="A140" s="316">
        <v>137</v>
      </c>
      <c r="B140" s="312">
        <f t="shared" ca="1" si="11"/>
        <v>0</v>
      </c>
      <c r="E140" s="165">
        <f t="shared" ca="1" si="8"/>
        <v>1</v>
      </c>
      <c r="F140" s="165">
        <f t="shared" ca="1" si="10"/>
        <v>0</v>
      </c>
      <c r="J140">
        <f t="shared" ca="1" si="9"/>
        <v>0</v>
      </c>
    </row>
    <row r="141" spans="1:10">
      <c r="A141" s="316">
        <v>138</v>
      </c>
      <c r="B141" s="312">
        <f t="shared" ca="1" si="11"/>
        <v>0</v>
      </c>
      <c r="E141" s="165">
        <f t="shared" ca="1" si="8"/>
        <v>1</v>
      </c>
      <c r="F141" s="165">
        <f t="shared" ca="1" si="10"/>
        <v>0</v>
      </c>
      <c r="J141">
        <f t="shared" ca="1" si="9"/>
        <v>0</v>
      </c>
    </row>
    <row r="142" spans="1:10">
      <c r="A142" s="316">
        <v>139</v>
      </c>
      <c r="B142" s="312">
        <f t="shared" ca="1" si="11"/>
        <v>0</v>
      </c>
      <c r="E142" s="165">
        <f t="shared" ca="1" si="8"/>
        <v>1</v>
      </c>
      <c r="F142" s="165">
        <f t="shared" ca="1" si="10"/>
        <v>0</v>
      </c>
      <c r="J142">
        <f t="shared" ca="1" si="9"/>
        <v>0</v>
      </c>
    </row>
    <row r="143" spans="1:10">
      <c r="A143" s="316">
        <v>140</v>
      </c>
      <c r="B143" s="312">
        <f t="shared" ca="1" si="11"/>
        <v>0</v>
      </c>
      <c r="E143" s="165">
        <f t="shared" ca="1" si="8"/>
        <v>1</v>
      </c>
      <c r="F143" s="165">
        <f t="shared" ca="1" si="10"/>
        <v>0</v>
      </c>
      <c r="J143">
        <f t="shared" ca="1" si="9"/>
        <v>0</v>
      </c>
    </row>
    <row r="144" spans="1:10">
      <c r="A144" s="316">
        <v>141</v>
      </c>
      <c r="B144" s="312">
        <f t="shared" ca="1" si="11"/>
        <v>0</v>
      </c>
      <c r="E144" s="165">
        <f t="shared" ca="1" si="8"/>
        <v>1</v>
      </c>
      <c r="F144" s="165">
        <f t="shared" ca="1" si="10"/>
        <v>0</v>
      </c>
      <c r="J144">
        <f t="shared" ca="1" si="9"/>
        <v>0</v>
      </c>
    </row>
    <row r="145" spans="1:10">
      <c r="A145" s="316">
        <v>142</v>
      </c>
      <c r="B145" s="312">
        <f t="shared" ca="1" si="11"/>
        <v>0</v>
      </c>
      <c r="E145" s="165">
        <f t="shared" ca="1" si="8"/>
        <v>1</v>
      </c>
      <c r="F145" s="165">
        <f t="shared" ca="1" si="10"/>
        <v>0</v>
      </c>
      <c r="J145">
        <f t="shared" ca="1" si="9"/>
        <v>0</v>
      </c>
    </row>
    <row r="146" spans="1:10">
      <c r="A146" s="316">
        <v>143</v>
      </c>
      <c r="B146" s="312">
        <f t="shared" ca="1" si="11"/>
        <v>0</v>
      </c>
      <c r="E146" s="165">
        <f t="shared" ca="1" si="8"/>
        <v>1</v>
      </c>
      <c r="F146" s="165">
        <f t="shared" ca="1" si="10"/>
        <v>0</v>
      </c>
      <c r="J146">
        <f t="shared" ca="1" si="9"/>
        <v>0</v>
      </c>
    </row>
    <row r="147" spans="1:10">
      <c r="A147" s="316">
        <v>144</v>
      </c>
      <c r="B147" s="312">
        <f t="shared" ca="1" si="11"/>
        <v>0</v>
      </c>
      <c r="E147" s="165">
        <f t="shared" ca="1" si="8"/>
        <v>1</v>
      </c>
      <c r="F147" s="165">
        <f t="shared" ca="1" si="10"/>
        <v>0</v>
      </c>
      <c r="J147">
        <f t="shared" ca="1" si="9"/>
        <v>0</v>
      </c>
    </row>
    <row r="148" spans="1:10">
      <c r="A148" s="316">
        <v>145</v>
      </c>
      <c r="B148" s="312">
        <f t="shared" ca="1" si="11"/>
        <v>0</v>
      </c>
      <c r="E148" s="165">
        <f t="shared" ca="1" si="8"/>
        <v>1</v>
      </c>
      <c r="F148" s="165">
        <f t="shared" ca="1" si="10"/>
        <v>0</v>
      </c>
      <c r="J148">
        <f t="shared" ca="1" si="9"/>
        <v>0</v>
      </c>
    </row>
    <row r="149" spans="1:10">
      <c r="A149" s="316">
        <v>146</v>
      </c>
      <c r="B149" s="312">
        <f t="shared" ca="1" si="11"/>
        <v>0</v>
      </c>
      <c r="E149" s="165">
        <f t="shared" ca="1" si="8"/>
        <v>1</v>
      </c>
      <c r="F149" s="165">
        <f t="shared" ca="1" si="10"/>
        <v>0</v>
      </c>
      <c r="J149">
        <f t="shared" ca="1" si="9"/>
        <v>0</v>
      </c>
    </row>
    <row r="150" spans="1:10">
      <c r="A150" s="316">
        <v>147</v>
      </c>
      <c r="B150" s="312">
        <f t="shared" ca="1" si="11"/>
        <v>0</v>
      </c>
      <c r="E150" s="165">
        <f t="shared" ca="1" si="8"/>
        <v>1</v>
      </c>
      <c r="F150" s="165">
        <f t="shared" ca="1" si="10"/>
        <v>0</v>
      </c>
      <c r="J150">
        <f t="shared" ca="1" si="9"/>
        <v>0</v>
      </c>
    </row>
    <row r="151" spans="1:10">
      <c r="A151" s="316">
        <v>148</v>
      </c>
      <c r="B151" s="312">
        <f t="shared" ca="1" si="11"/>
        <v>0</v>
      </c>
      <c r="E151" s="165">
        <f t="shared" ca="1" si="8"/>
        <v>1</v>
      </c>
      <c r="F151" s="165">
        <f t="shared" ca="1" si="10"/>
        <v>0</v>
      </c>
      <c r="J151">
        <f t="shared" ca="1" si="9"/>
        <v>0</v>
      </c>
    </row>
    <row r="152" spans="1:10">
      <c r="A152" s="316">
        <v>149</v>
      </c>
      <c r="B152" s="312">
        <f t="shared" ca="1" si="11"/>
        <v>0</v>
      </c>
      <c r="E152" s="165">
        <f t="shared" ca="1" si="8"/>
        <v>1</v>
      </c>
      <c r="F152" s="165">
        <f t="shared" ca="1" si="10"/>
        <v>0</v>
      </c>
      <c r="J152">
        <f t="shared" ca="1" si="9"/>
        <v>0</v>
      </c>
    </row>
    <row r="153" spans="1:10">
      <c r="A153" s="316">
        <v>150</v>
      </c>
      <c r="B153" s="312">
        <f t="shared" ca="1" si="11"/>
        <v>0</v>
      </c>
      <c r="E153" s="165">
        <f t="shared" ca="1" si="8"/>
        <v>1</v>
      </c>
      <c r="F153" s="165">
        <f t="shared" ca="1" si="10"/>
        <v>0</v>
      </c>
      <c r="J153">
        <f t="shared" ca="1" si="9"/>
        <v>0</v>
      </c>
    </row>
    <row r="154" spans="1:10">
      <c r="A154" s="316">
        <v>151</v>
      </c>
      <c r="B154" s="312">
        <f t="shared" ca="1" si="11"/>
        <v>0</v>
      </c>
      <c r="E154" s="165">
        <f t="shared" ref="E154:E217" ca="1" si="12">J154*(B154*$L$1+F154)-(J154-1)*$L$3</f>
        <v>1</v>
      </c>
      <c r="F154" s="165">
        <f t="shared" ca="1" si="10"/>
        <v>0</v>
      </c>
      <c r="J154">
        <f t="shared" ca="1" si="9"/>
        <v>0</v>
      </c>
    </row>
    <row r="155" spans="1:10">
      <c r="A155" s="316">
        <v>152</v>
      </c>
      <c r="B155" s="312">
        <f t="shared" ca="1" si="11"/>
        <v>0</v>
      </c>
      <c r="E155" s="165">
        <f t="shared" ca="1" si="12"/>
        <v>1</v>
      </c>
      <c r="F155" s="165">
        <f t="shared" ca="1" si="10"/>
        <v>0</v>
      </c>
      <c r="J155">
        <f t="shared" ref="J155:J218" ca="1" si="13">IF($I$3&lt;=A155,0,1)</f>
        <v>0</v>
      </c>
    </row>
    <row r="156" spans="1:10">
      <c r="A156" s="316">
        <v>153</v>
      </c>
      <c r="B156" s="312">
        <f t="shared" ca="1" si="11"/>
        <v>0</v>
      </c>
      <c r="E156" s="165">
        <f t="shared" ca="1" si="12"/>
        <v>1</v>
      </c>
      <c r="F156" s="165">
        <f t="shared" ca="1" si="10"/>
        <v>0</v>
      </c>
      <c r="J156">
        <f t="shared" ca="1" si="13"/>
        <v>0</v>
      </c>
    </row>
    <row r="157" spans="1:10">
      <c r="A157" s="316">
        <v>154</v>
      </c>
      <c r="B157" s="312">
        <f t="shared" ca="1" si="11"/>
        <v>0</v>
      </c>
      <c r="E157" s="165">
        <f t="shared" ca="1" si="12"/>
        <v>1</v>
      </c>
      <c r="F157" s="165">
        <f t="shared" ca="1" si="10"/>
        <v>0</v>
      </c>
      <c r="J157">
        <f t="shared" ca="1" si="13"/>
        <v>0</v>
      </c>
    </row>
    <row r="158" spans="1:10">
      <c r="A158" s="316">
        <v>155</v>
      </c>
      <c r="B158" s="312">
        <f t="shared" ca="1" si="11"/>
        <v>0</v>
      </c>
      <c r="E158" s="165">
        <f t="shared" ca="1" si="12"/>
        <v>1</v>
      </c>
      <c r="F158" s="165">
        <f t="shared" ca="1" si="10"/>
        <v>0</v>
      </c>
      <c r="J158">
        <f t="shared" ca="1" si="13"/>
        <v>0</v>
      </c>
    </row>
    <row r="159" spans="1:10">
      <c r="A159" s="316">
        <v>156</v>
      </c>
      <c r="B159" s="312">
        <f t="shared" ca="1" si="11"/>
        <v>0</v>
      </c>
      <c r="E159" s="165">
        <f t="shared" ca="1" si="12"/>
        <v>1</v>
      </c>
      <c r="F159" s="165">
        <f t="shared" ca="1" si="10"/>
        <v>0</v>
      </c>
      <c r="J159">
        <f t="shared" ca="1" si="13"/>
        <v>0</v>
      </c>
    </row>
    <row r="160" spans="1:10">
      <c r="A160" s="316">
        <v>157</v>
      </c>
      <c r="B160" s="312">
        <f t="shared" ca="1" si="11"/>
        <v>0</v>
      </c>
      <c r="E160" s="165">
        <f t="shared" ca="1" si="12"/>
        <v>1</v>
      </c>
      <c r="F160" s="165">
        <f t="shared" ca="1" si="10"/>
        <v>0</v>
      </c>
      <c r="J160">
        <f t="shared" ca="1" si="13"/>
        <v>0</v>
      </c>
    </row>
    <row r="161" spans="1:10">
      <c r="A161" s="316">
        <v>158</v>
      </c>
      <c r="B161" s="312">
        <f t="shared" ca="1" si="11"/>
        <v>0</v>
      </c>
      <c r="E161" s="165">
        <f t="shared" ca="1" si="12"/>
        <v>1</v>
      </c>
      <c r="F161" s="165">
        <f t="shared" ca="1" si="10"/>
        <v>0</v>
      </c>
      <c r="J161">
        <f t="shared" ca="1" si="13"/>
        <v>0</v>
      </c>
    </row>
    <row r="162" spans="1:10">
      <c r="A162" s="316">
        <v>159</v>
      </c>
      <c r="B162" s="312">
        <f t="shared" ca="1" si="11"/>
        <v>0</v>
      </c>
      <c r="E162" s="165">
        <f t="shared" ca="1" si="12"/>
        <v>1</v>
      </c>
      <c r="F162" s="165">
        <f t="shared" ca="1" si="10"/>
        <v>0</v>
      </c>
      <c r="J162">
        <f t="shared" ca="1" si="13"/>
        <v>0</v>
      </c>
    </row>
    <row r="163" spans="1:10">
      <c r="A163" s="316">
        <v>160</v>
      </c>
      <c r="B163" s="312">
        <f t="shared" ca="1" si="11"/>
        <v>0</v>
      </c>
      <c r="E163" s="165">
        <f t="shared" ca="1" si="12"/>
        <v>1</v>
      </c>
      <c r="F163" s="165">
        <f t="shared" ca="1" si="10"/>
        <v>0</v>
      </c>
      <c r="J163">
        <f t="shared" ca="1" si="13"/>
        <v>0</v>
      </c>
    </row>
    <row r="164" spans="1:10">
      <c r="A164" s="316">
        <v>161</v>
      </c>
      <c r="B164" s="312">
        <f t="shared" ca="1" si="11"/>
        <v>0</v>
      </c>
      <c r="E164" s="165">
        <f t="shared" ca="1" si="12"/>
        <v>1</v>
      </c>
      <c r="F164" s="165">
        <f t="shared" ca="1" si="10"/>
        <v>0</v>
      </c>
      <c r="J164">
        <f t="shared" ca="1" si="13"/>
        <v>0</v>
      </c>
    </row>
    <row r="165" spans="1:10">
      <c r="A165" s="316">
        <v>162</v>
      </c>
      <c r="B165" s="312">
        <f t="shared" ca="1" si="11"/>
        <v>0</v>
      </c>
      <c r="E165" s="165">
        <f t="shared" ca="1" si="12"/>
        <v>1</v>
      </c>
      <c r="F165" s="165">
        <f t="shared" ca="1" si="10"/>
        <v>0</v>
      </c>
      <c r="J165">
        <f t="shared" ca="1" si="13"/>
        <v>0</v>
      </c>
    </row>
    <row r="166" spans="1:10">
      <c r="A166" s="316">
        <v>163</v>
      </c>
      <c r="B166" s="312">
        <f t="shared" ca="1" si="11"/>
        <v>0</v>
      </c>
      <c r="E166" s="165">
        <f t="shared" ca="1" si="12"/>
        <v>1</v>
      </c>
      <c r="F166" s="165">
        <f t="shared" ca="1" si="10"/>
        <v>0</v>
      </c>
      <c r="J166">
        <f t="shared" ca="1" si="13"/>
        <v>0</v>
      </c>
    </row>
    <row r="167" spans="1:10">
      <c r="A167" s="316">
        <v>164</v>
      </c>
      <c r="B167" s="312">
        <f t="shared" ca="1" si="11"/>
        <v>0</v>
      </c>
      <c r="E167" s="165">
        <f t="shared" ca="1" si="12"/>
        <v>1</v>
      </c>
      <c r="F167" s="165">
        <f t="shared" ca="1" si="10"/>
        <v>0</v>
      </c>
      <c r="J167">
        <f t="shared" ca="1" si="13"/>
        <v>0</v>
      </c>
    </row>
    <row r="168" spans="1:10">
      <c r="A168" s="316">
        <v>165</v>
      </c>
      <c r="B168" s="312">
        <f t="shared" ca="1" si="11"/>
        <v>0</v>
      </c>
      <c r="E168" s="165">
        <f t="shared" ca="1" si="12"/>
        <v>1</v>
      </c>
      <c r="F168" s="165">
        <f t="shared" ca="1" si="10"/>
        <v>0</v>
      </c>
      <c r="J168">
        <f t="shared" ca="1" si="13"/>
        <v>0</v>
      </c>
    </row>
    <row r="169" spans="1:10">
      <c r="A169" s="316">
        <v>166</v>
      </c>
      <c r="B169" s="312">
        <f t="shared" ca="1" si="11"/>
        <v>0</v>
      </c>
      <c r="E169" s="165">
        <f t="shared" ca="1" si="12"/>
        <v>1</v>
      </c>
      <c r="F169" s="165">
        <f t="shared" ca="1" si="10"/>
        <v>0</v>
      </c>
      <c r="J169">
        <f t="shared" ca="1" si="13"/>
        <v>0</v>
      </c>
    </row>
    <row r="170" spans="1:10">
      <c r="A170" s="316">
        <v>167</v>
      </c>
      <c r="B170" s="312">
        <f t="shared" ca="1" si="11"/>
        <v>0</v>
      </c>
      <c r="E170" s="165">
        <f t="shared" ca="1" si="12"/>
        <v>1</v>
      </c>
      <c r="F170" s="165">
        <f t="shared" ca="1" si="10"/>
        <v>0</v>
      </c>
      <c r="J170">
        <f t="shared" ca="1" si="13"/>
        <v>0</v>
      </c>
    </row>
    <row r="171" spans="1:10">
      <c r="A171" s="316">
        <v>168</v>
      </c>
      <c r="B171" s="312">
        <f t="shared" ca="1" si="11"/>
        <v>0</v>
      </c>
      <c r="E171" s="165">
        <f t="shared" ca="1" si="12"/>
        <v>1</v>
      </c>
      <c r="F171" s="165">
        <f t="shared" ca="1" si="10"/>
        <v>0</v>
      </c>
      <c r="J171">
        <f t="shared" ca="1" si="13"/>
        <v>0</v>
      </c>
    </row>
    <row r="172" spans="1:10">
      <c r="A172" s="316">
        <v>169</v>
      </c>
      <c r="B172" s="312">
        <f t="shared" ca="1" si="11"/>
        <v>0</v>
      </c>
      <c r="E172" s="165">
        <f t="shared" ca="1" si="12"/>
        <v>1</v>
      </c>
      <c r="F172" s="165">
        <f t="shared" ca="1" si="10"/>
        <v>0</v>
      </c>
      <c r="J172">
        <f t="shared" ca="1" si="13"/>
        <v>0</v>
      </c>
    </row>
    <row r="173" spans="1:10">
      <c r="A173" s="316">
        <v>170</v>
      </c>
      <c r="B173" s="312">
        <f t="shared" ca="1" si="11"/>
        <v>0</v>
      </c>
      <c r="E173" s="165">
        <f t="shared" ca="1" si="12"/>
        <v>1</v>
      </c>
      <c r="F173" s="165">
        <f t="shared" ca="1" si="10"/>
        <v>0</v>
      </c>
      <c r="J173">
        <f t="shared" ca="1" si="13"/>
        <v>0</v>
      </c>
    </row>
    <row r="174" spans="1:10">
      <c r="A174" s="316">
        <v>171</v>
      </c>
      <c r="B174" s="312">
        <f t="shared" ca="1" si="11"/>
        <v>0</v>
      </c>
      <c r="E174" s="165">
        <f t="shared" ca="1" si="12"/>
        <v>1</v>
      </c>
      <c r="F174" s="165">
        <f t="shared" ca="1" si="10"/>
        <v>0</v>
      </c>
      <c r="J174">
        <f t="shared" ca="1" si="13"/>
        <v>0</v>
      </c>
    </row>
    <row r="175" spans="1:10">
      <c r="A175" s="316">
        <v>172</v>
      </c>
      <c r="B175" s="312">
        <f t="shared" ca="1" si="11"/>
        <v>0</v>
      </c>
      <c r="E175" s="165">
        <f t="shared" ca="1" si="12"/>
        <v>1</v>
      </c>
      <c r="F175" s="165">
        <f t="shared" ca="1" si="10"/>
        <v>0</v>
      </c>
      <c r="J175">
        <f t="shared" ca="1" si="13"/>
        <v>0</v>
      </c>
    </row>
    <row r="176" spans="1:10">
      <c r="A176" s="316">
        <v>173</v>
      </c>
      <c r="B176" s="312">
        <f t="shared" ca="1" si="11"/>
        <v>0</v>
      </c>
      <c r="E176" s="165">
        <f t="shared" ca="1" si="12"/>
        <v>1</v>
      </c>
      <c r="F176" s="165">
        <f t="shared" ca="1" si="10"/>
        <v>0</v>
      </c>
      <c r="J176">
        <f t="shared" ca="1" si="13"/>
        <v>0</v>
      </c>
    </row>
    <row r="177" spans="1:10">
      <c r="A177" s="316">
        <v>174</v>
      </c>
      <c r="B177" s="312">
        <f t="shared" ca="1" si="11"/>
        <v>0</v>
      </c>
      <c r="E177" s="165">
        <f t="shared" ca="1" si="12"/>
        <v>1</v>
      </c>
      <c r="F177" s="165">
        <f t="shared" ca="1" si="10"/>
        <v>0</v>
      </c>
      <c r="J177">
        <f t="shared" ca="1" si="13"/>
        <v>0</v>
      </c>
    </row>
    <row r="178" spans="1:10">
      <c r="A178" s="316">
        <v>175</v>
      </c>
      <c r="B178" s="312">
        <f t="shared" ca="1" si="11"/>
        <v>0</v>
      </c>
      <c r="E178" s="165">
        <f t="shared" ca="1" si="12"/>
        <v>1</v>
      </c>
      <c r="F178" s="165">
        <f t="shared" ca="1" si="10"/>
        <v>0</v>
      </c>
      <c r="J178">
        <f t="shared" ca="1" si="13"/>
        <v>0</v>
      </c>
    </row>
    <row r="179" spans="1:10">
      <c r="A179" s="316">
        <v>176</v>
      </c>
      <c r="B179" s="312">
        <f t="shared" ca="1" si="11"/>
        <v>0</v>
      </c>
      <c r="E179" s="165">
        <f t="shared" ca="1" si="12"/>
        <v>1</v>
      </c>
      <c r="F179" s="165">
        <f t="shared" ca="1" si="10"/>
        <v>0</v>
      </c>
      <c r="J179">
        <f t="shared" ca="1" si="13"/>
        <v>0</v>
      </c>
    </row>
    <row r="180" spans="1:10">
      <c r="A180" s="316">
        <v>177</v>
      </c>
      <c r="B180" s="312">
        <f t="shared" ca="1" si="11"/>
        <v>0</v>
      </c>
      <c r="E180" s="165">
        <f t="shared" ca="1" si="12"/>
        <v>1</v>
      </c>
      <c r="F180" s="165">
        <f t="shared" ca="1" si="10"/>
        <v>0</v>
      </c>
      <c r="J180">
        <f t="shared" ca="1" si="13"/>
        <v>0</v>
      </c>
    </row>
    <row r="181" spans="1:10">
      <c r="A181" s="316">
        <v>178</v>
      </c>
      <c r="B181" s="312">
        <f t="shared" ca="1" si="11"/>
        <v>0</v>
      </c>
      <c r="E181" s="165">
        <f t="shared" ca="1" si="12"/>
        <v>1</v>
      </c>
      <c r="F181" s="165">
        <f t="shared" ca="1" si="10"/>
        <v>0</v>
      </c>
      <c r="J181">
        <f t="shared" ca="1" si="13"/>
        <v>0</v>
      </c>
    </row>
    <row r="182" spans="1:10">
      <c r="A182" s="316">
        <v>179</v>
      </c>
      <c r="B182" s="312">
        <f t="shared" ca="1" si="11"/>
        <v>0</v>
      </c>
      <c r="E182" s="165">
        <f t="shared" ca="1" si="12"/>
        <v>1</v>
      </c>
      <c r="F182" s="165">
        <f t="shared" ca="1" si="10"/>
        <v>0</v>
      </c>
      <c r="J182">
        <f t="shared" ca="1" si="13"/>
        <v>0</v>
      </c>
    </row>
    <row r="183" spans="1:10">
      <c r="A183" s="316">
        <v>180</v>
      </c>
      <c r="B183" s="312">
        <f t="shared" ca="1" si="11"/>
        <v>0</v>
      </c>
      <c r="E183" s="165">
        <f t="shared" ca="1" si="12"/>
        <v>1</v>
      </c>
      <c r="F183" s="165">
        <f t="shared" ca="1" si="10"/>
        <v>0</v>
      </c>
      <c r="J183">
        <f t="shared" ca="1" si="13"/>
        <v>0</v>
      </c>
    </row>
    <row r="184" spans="1:10">
      <c r="A184" s="316">
        <v>181</v>
      </c>
      <c r="B184" s="312">
        <f t="shared" ca="1" si="11"/>
        <v>0</v>
      </c>
      <c r="E184" s="165">
        <f t="shared" ca="1" si="12"/>
        <v>1</v>
      </c>
      <c r="F184" s="165">
        <f t="shared" ca="1" si="10"/>
        <v>0</v>
      </c>
      <c r="J184">
        <f t="shared" ca="1" si="13"/>
        <v>0</v>
      </c>
    </row>
    <row r="185" spans="1:10">
      <c r="A185" s="316">
        <v>182</v>
      </c>
      <c r="B185" s="312">
        <f t="shared" ca="1" si="11"/>
        <v>0</v>
      </c>
      <c r="E185" s="165">
        <f t="shared" ca="1" si="12"/>
        <v>1</v>
      </c>
      <c r="F185" s="165">
        <f t="shared" ca="1" si="10"/>
        <v>0</v>
      </c>
      <c r="J185">
        <f t="shared" ca="1" si="13"/>
        <v>0</v>
      </c>
    </row>
    <row r="186" spans="1:10">
      <c r="A186" s="316">
        <v>183</v>
      </c>
      <c r="B186" s="312">
        <f t="shared" ca="1" si="11"/>
        <v>0</v>
      </c>
      <c r="E186" s="165">
        <f t="shared" ca="1" si="12"/>
        <v>1</v>
      </c>
      <c r="F186" s="165">
        <f t="shared" ca="1" si="10"/>
        <v>0</v>
      </c>
      <c r="J186">
        <f t="shared" ca="1" si="13"/>
        <v>0</v>
      </c>
    </row>
    <row r="187" spans="1:10">
      <c r="A187" s="316">
        <v>184</v>
      </c>
      <c r="B187" s="312">
        <f t="shared" ca="1" si="11"/>
        <v>0</v>
      </c>
      <c r="E187" s="165">
        <f t="shared" ca="1" si="12"/>
        <v>1</v>
      </c>
      <c r="F187" s="165">
        <f t="shared" ca="1" si="10"/>
        <v>0</v>
      </c>
      <c r="J187">
        <f t="shared" ca="1" si="13"/>
        <v>0</v>
      </c>
    </row>
    <row r="188" spans="1:10">
      <c r="A188" s="316">
        <v>185</v>
      </c>
      <c r="B188" s="312">
        <f t="shared" ca="1" si="11"/>
        <v>0</v>
      </c>
      <c r="E188" s="165">
        <f t="shared" ca="1" si="12"/>
        <v>1</v>
      </c>
      <c r="F188" s="165">
        <f t="shared" ca="1" si="10"/>
        <v>0</v>
      </c>
      <c r="J188">
        <f t="shared" ca="1" si="13"/>
        <v>0</v>
      </c>
    </row>
    <row r="189" spans="1:10">
      <c r="A189" s="316">
        <v>186</v>
      </c>
      <c r="B189" s="312">
        <f t="shared" ca="1" si="11"/>
        <v>0</v>
      </c>
      <c r="E189" s="165">
        <f t="shared" ca="1" si="12"/>
        <v>1</v>
      </c>
      <c r="F189" s="165">
        <f t="shared" ca="1" si="10"/>
        <v>0</v>
      </c>
      <c r="J189">
        <f t="shared" ca="1" si="13"/>
        <v>0</v>
      </c>
    </row>
    <row r="190" spans="1:10">
      <c r="A190" s="316">
        <v>187</v>
      </c>
      <c r="B190" s="312">
        <f t="shared" ca="1" si="11"/>
        <v>0</v>
      </c>
      <c r="E190" s="165">
        <f t="shared" ca="1" si="12"/>
        <v>1</v>
      </c>
      <c r="F190" s="165">
        <f t="shared" ca="1" si="10"/>
        <v>0</v>
      </c>
      <c r="J190">
        <f t="shared" ca="1" si="13"/>
        <v>0</v>
      </c>
    </row>
    <row r="191" spans="1:10">
      <c r="A191" s="316">
        <v>188</v>
      </c>
      <c r="B191" s="312">
        <f t="shared" ca="1" si="11"/>
        <v>0</v>
      </c>
      <c r="E191" s="165">
        <f t="shared" ca="1" si="12"/>
        <v>1</v>
      </c>
      <c r="F191" s="165">
        <f t="shared" ca="1" si="10"/>
        <v>0</v>
      </c>
      <c r="J191">
        <f t="shared" ca="1" si="13"/>
        <v>0</v>
      </c>
    </row>
    <row r="192" spans="1:10">
      <c r="A192" s="316">
        <v>189</v>
      </c>
      <c r="B192" s="312">
        <f t="shared" ca="1" si="11"/>
        <v>0</v>
      </c>
      <c r="E192" s="165">
        <f t="shared" ca="1" si="12"/>
        <v>1</v>
      </c>
      <c r="F192" s="165">
        <f t="shared" ca="1" si="10"/>
        <v>0</v>
      </c>
      <c r="J192">
        <f t="shared" ca="1" si="13"/>
        <v>0</v>
      </c>
    </row>
    <row r="193" spans="1:10">
      <c r="A193" s="316">
        <v>190</v>
      </c>
      <c r="B193" s="312">
        <f t="shared" ca="1" si="11"/>
        <v>0</v>
      </c>
      <c r="E193" s="165">
        <f t="shared" ca="1" si="12"/>
        <v>1</v>
      </c>
      <c r="F193" s="165">
        <f t="shared" ca="1" si="10"/>
        <v>0</v>
      </c>
      <c r="J193">
        <f t="shared" ca="1" si="13"/>
        <v>0</v>
      </c>
    </row>
    <row r="194" spans="1:10">
      <c r="A194" s="316">
        <v>191</v>
      </c>
      <c r="B194" s="312">
        <f t="shared" ca="1" si="11"/>
        <v>0</v>
      </c>
      <c r="E194" s="165">
        <f t="shared" ca="1" si="12"/>
        <v>1</v>
      </c>
      <c r="F194" s="165">
        <f t="shared" ca="1" si="10"/>
        <v>0</v>
      </c>
      <c r="J194">
        <f t="shared" ca="1" si="13"/>
        <v>0</v>
      </c>
    </row>
    <row r="195" spans="1:10">
      <c r="A195" s="316">
        <v>192</v>
      </c>
      <c r="B195" s="312">
        <f t="shared" ca="1" si="11"/>
        <v>0</v>
      </c>
      <c r="E195" s="165">
        <f t="shared" ca="1" si="12"/>
        <v>1</v>
      </c>
      <c r="F195" s="165">
        <f t="shared" ca="1" si="10"/>
        <v>0</v>
      </c>
      <c r="J195">
        <f t="shared" ca="1" si="13"/>
        <v>0</v>
      </c>
    </row>
    <row r="196" spans="1:10">
      <c r="A196" s="316">
        <v>193</v>
      </c>
      <c r="B196" s="312">
        <f t="shared" ca="1" si="11"/>
        <v>0</v>
      </c>
      <c r="E196" s="165">
        <f t="shared" ca="1" si="12"/>
        <v>1</v>
      </c>
      <c r="F196" s="165">
        <f t="shared" ca="1" si="10"/>
        <v>0</v>
      </c>
      <c r="J196">
        <f t="shared" ca="1" si="13"/>
        <v>0</v>
      </c>
    </row>
    <row r="197" spans="1:10">
      <c r="A197" s="316">
        <v>194</v>
      </c>
      <c r="B197" s="312">
        <f t="shared" ca="1" si="11"/>
        <v>0</v>
      </c>
      <c r="E197" s="165">
        <f t="shared" ca="1" si="12"/>
        <v>1</v>
      </c>
      <c r="F197" s="165">
        <f t="shared" ref="F197:F259" ca="1" si="14">IF(A197&lt;$I$3,$L$2,0)</f>
        <v>0</v>
      </c>
      <c r="J197">
        <f t="shared" ca="1" si="13"/>
        <v>0</v>
      </c>
    </row>
    <row r="198" spans="1:10">
      <c r="A198" s="316">
        <v>195</v>
      </c>
      <c r="B198" s="312">
        <f t="shared" ref="B198:B259" ca="1" si="15">J198*($H$3-C198+D198)</f>
        <v>0</v>
      </c>
      <c r="E198" s="165">
        <f t="shared" ca="1" si="12"/>
        <v>1</v>
      </c>
      <c r="F198" s="165">
        <f t="shared" ca="1" si="14"/>
        <v>0</v>
      </c>
      <c r="J198">
        <f t="shared" ca="1" si="13"/>
        <v>0</v>
      </c>
    </row>
    <row r="199" spans="1:10">
      <c r="A199" s="316">
        <v>196</v>
      </c>
      <c r="B199" s="312">
        <f t="shared" ca="1" si="15"/>
        <v>0</v>
      </c>
      <c r="E199" s="165">
        <f t="shared" ca="1" si="12"/>
        <v>1</v>
      </c>
      <c r="F199" s="165">
        <f t="shared" ca="1" si="14"/>
        <v>0</v>
      </c>
      <c r="J199">
        <f t="shared" ca="1" si="13"/>
        <v>0</v>
      </c>
    </row>
    <row r="200" spans="1:10">
      <c r="A200" s="316">
        <v>197</v>
      </c>
      <c r="B200" s="312">
        <f t="shared" ca="1" si="15"/>
        <v>0</v>
      </c>
      <c r="E200" s="165">
        <f t="shared" ca="1" si="12"/>
        <v>1</v>
      </c>
      <c r="F200" s="165">
        <f t="shared" ca="1" si="14"/>
        <v>0</v>
      </c>
      <c r="J200">
        <f t="shared" ca="1" si="13"/>
        <v>0</v>
      </c>
    </row>
    <row r="201" spans="1:10">
      <c r="A201" s="316">
        <v>198</v>
      </c>
      <c r="B201" s="312">
        <f t="shared" ca="1" si="15"/>
        <v>0</v>
      </c>
      <c r="E201" s="165">
        <f t="shared" ca="1" si="12"/>
        <v>1</v>
      </c>
      <c r="F201" s="165">
        <f t="shared" ca="1" si="14"/>
        <v>0</v>
      </c>
      <c r="J201">
        <f t="shared" ca="1" si="13"/>
        <v>0</v>
      </c>
    </row>
    <row r="202" spans="1:10">
      <c r="A202" s="316">
        <v>199</v>
      </c>
      <c r="B202" s="312">
        <f t="shared" ca="1" si="15"/>
        <v>0</v>
      </c>
      <c r="E202" s="165">
        <f t="shared" ca="1" si="12"/>
        <v>1</v>
      </c>
      <c r="F202" s="165">
        <f t="shared" ca="1" si="14"/>
        <v>0</v>
      </c>
      <c r="J202">
        <f t="shared" ca="1" si="13"/>
        <v>0</v>
      </c>
    </row>
    <row r="203" spans="1:10">
      <c r="A203" s="316">
        <v>200</v>
      </c>
      <c r="B203" s="312">
        <f t="shared" ca="1" si="15"/>
        <v>0</v>
      </c>
      <c r="E203" s="165">
        <f t="shared" ca="1" si="12"/>
        <v>1</v>
      </c>
      <c r="F203" s="165">
        <f t="shared" ca="1" si="14"/>
        <v>0</v>
      </c>
      <c r="J203">
        <f t="shared" ca="1" si="13"/>
        <v>0</v>
      </c>
    </row>
    <row r="204" spans="1:10">
      <c r="A204" s="316">
        <v>201</v>
      </c>
      <c r="B204" s="312">
        <f t="shared" ca="1" si="15"/>
        <v>0</v>
      </c>
      <c r="E204" s="165">
        <f t="shared" ca="1" si="12"/>
        <v>1</v>
      </c>
      <c r="F204" s="165">
        <f t="shared" ca="1" si="14"/>
        <v>0</v>
      </c>
      <c r="J204">
        <f t="shared" ca="1" si="13"/>
        <v>0</v>
      </c>
    </row>
    <row r="205" spans="1:10">
      <c r="A205" s="316">
        <v>202</v>
      </c>
      <c r="B205" s="312">
        <f t="shared" ca="1" si="15"/>
        <v>0</v>
      </c>
      <c r="E205" s="165">
        <f t="shared" ca="1" si="12"/>
        <v>1</v>
      </c>
      <c r="F205" s="165">
        <f t="shared" ca="1" si="14"/>
        <v>0</v>
      </c>
      <c r="J205">
        <f t="shared" ca="1" si="13"/>
        <v>0</v>
      </c>
    </row>
    <row r="206" spans="1:10">
      <c r="A206" s="316">
        <v>203</v>
      </c>
      <c r="B206" s="312">
        <f t="shared" ca="1" si="15"/>
        <v>0</v>
      </c>
      <c r="E206" s="165">
        <f t="shared" ca="1" si="12"/>
        <v>1</v>
      </c>
      <c r="F206" s="165">
        <f t="shared" ca="1" si="14"/>
        <v>0</v>
      </c>
      <c r="J206">
        <f t="shared" ca="1" si="13"/>
        <v>0</v>
      </c>
    </row>
    <row r="207" spans="1:10">
      <c r="A207" s="316">
        <v>204</v>
      </c>
      <c r="B207" s="312">
        <f t="shared" ca="1" si="15"/>
        <v>0</v>
      </c>
      <c r="E207" s="165">
        <f t="shared" ca="1" si="12"/>
        <v>1</v>
      </c>
      <c r="F207" s="165">
        <f t="shared" ca="1" si="14"/>
        <v>0</v>
      </c>
      <c r="J207">
        <f t="shared" ca="1" si="13"/>
        <v>0</v>
      </c>
    </row>
    <row r="208" spans="1:10">
      <c r="A208" s="316">
        <v>205</v>
      </c>
      <c r="B208" s="312">
        <f t="shared" ca="1" si="15"/>
        <v>0</v>
      </c>
      <c r="E208" s="165">
        <f t="shared" ca="1" si="12"/>
        <v>1</v>
      </c>
      <c r="F208" s="165">
        <f t="shared" ca="1" si="14"/>
        <v>0</v>
      </c>
      <c r="J208">
        <f t="shared" ca="1" si="13"/>
        <v>0</v>
      </c>
    </row>
    <row r="209" spans="1:10">
      <c r="A209" s="316">
        <v>206</v>
      </c>
      <c r="B209" s="312">
        <f t="shared" ca="1" si="15"/>
        <v>0</v>
      </c>
      <c r="E209" s="165">
        <f t="shared" ca="1" si="12"/>
        <v>1</v>
      </c>
      <c r="F209" s="165">
        <f t="shared" ca="1" si="14"/>
        <v>0</v>
      </c>
      <c r="J209">
        <f t="shared" ca="1" si="13"/>
        <v>0</v>
      </c>
    </row>
    <row r="210" spans="1:10">
      <c r="A210" s="316">
        <v>207</v>
      </c>
      <c r="B210" s="312">
        <f t="shared" ca="1" si="15"/>
        <v>0</v>
      </c>
      <c r="E210" s="165">
        <f t="shared" ca="1" si="12"/>
        <v>1</v>
      </c>
      <c r="F210" s="165">
        <f t="shared" ca="1" si="14"/>
        <v>0</v>
      </c>
      <c r="J210">
        <f t="shared" ca="1" si="13"/>
        <v>0</v>
      </c>
    </row>
    <row r="211" spans="1:10">
      <c r="A211" s="316">
        <v>208</v>
      </c>
      <c r="B211" s="312">
        <f t="shared" ca="1" si="15"/>
        <v>0</v>
      </c>
      <c r="E211" s="165">
        <f t="shared" ca="1" si="12"/>
        <v>1</v>
      </c>
      <c r="F211" s="165">
        <f t="shared" ca="1" si="14"/>
        <v>0</v>
      </c>
      <c r="J211">
        <f t="shared" ca="1" si="13"/>
        <v>0</v>
      </c>
    </row>
    <row r="212" spans="1:10">
      <c r="A212" s="316">
        <v>209</v>
      </c>
      <c r="B212" s="312">
        <f t="shared" ca="1" si="15"/>
        <v>0</v>
      </c>
      <c r="E212" s="165">
        <f t="shared" ca="1" si="12"/>
        <v>1</v>
      </c>
      <c r="F212" s="165">
        <f t="shared" ca="1" si="14"/>
        <v>0</v>
      </c>
      <c r="J212">
        <f t="shared" ca="1" si="13"/>
        <v>0</v>
      </c>
    </row>
    <row r="213" spans="1:10">
      <c r="A213" s="316">
        <v>210</v>
      </c>
      <c r="B213" s="312">
        <f t="shared" ca="1" si="15"/>
        <v>0</v>
      </c>
      <c r="E213" s="165">
        <f t="shared" ca="1" si="12"/>
        <v>1</v>
      </c>
      <c r="F213" s="165">
        <f t="shared" ca="1" si="14"/>
        <v>0</v>
      </c>
      <c r="J213">
        <f t="shared" ca="1" si="13"/>
        <v>0</v>
      </c>
    </row>
    <row r="214" spans="1:10">
      <c r="A214" s="316">
        <v>211</v>
      </c>
      <c r="B214" s="312">
        <f t="shared" ca="1" si="15"/>
        <v>0</v>
      </c>
      <c r="E214" s="165">
        <f t="shared" ca="1" si="12"/>
        <v>1</v>
      </c>
      <c r="F214" s="165">
        <f t="shared" ca="1" si="14"/>
        <v>0</v>
      </c>
      <c r="J214">
        <f t="shared" ca="1" si="13"/>
        <v>0</v>
      </c>
    </row>
    <row r="215" spans="1:10">
      <c r="A215" s="316">
        <v>212</v>
      </c>
      <c r="B215" s="312">
        <f t="shared" ca="1" si="15"/>
        <v>0</v>
      </c>
      <c r="E215" s="165">
        <f t="shared" ca="1" si="12"/>
        <v>1</v>
      </c>
      <c r="F215" s="165">
        <f t="shared" ca="1" si="14"/>
        <v>0</v>
      </c>
      <c r="J215">
        <f t="shared" ca="1" si="13"/>
        <v>0</v>
      </c>
    </row>
    <row r="216" spans="1:10">
      <c r="A216" s="316">
        <v>213</v>
      </c>
      <c r="B216" s="312">
        <f t="shared" ca="1" si="15"/>
        <v>0</v>
      </c>
      <c r="E216" s="165">
        <f t="shared" ca="1" si="12"/>
        <v>1</v>
      </c>
      <c r="F216" s="165">
        <f t="shared" ca="1" si="14"/>
        <v>0</v>
      </c>
      <c r="J216">
        <f t="shared" ca="1" si="13"/>
        <v>0</v>
      </c>
    </row>
    <row r="217" spans="1:10">
      <c r="A217" s="316">
        <v>214</v>
      </c>
      <c r="B217" s="312">
        <f t="shared" ca="1" si="15"/>
        <v>0</v>
      </c>
      <c r="E217" s="165">
        <f t="shared" ca="1" si="12"/>
        <v>1</v>
      </c>
      <c r="F217" s="165">
        <f t="shared" ca="1" si="14"/>
        <v>0</v>
      </c>
      <c r="J217">
        <f t="shared" ca="1" si="13"/>
        <v>0</v>
      </c>
    </row>
    <row r="218" spans="1:10">
      <c r="A218" s="316">
        <v>215</v>
      </c>
      <c r="B218" s="312">
        <f t="shared" ca="1" si="15"/>
        <v>0</v>
      </c>
      <c r="E218" s="165">
        <f t="shared" ref="E218:E259" ca="1" si="16">J218*(B218*$L$1+F218)-(J218-1)*$L$3</f>
        <v>1</v>
      </c>
      <c r="F218" s="165">
        <f t="shared" ca="1" si="14"/>
        <v>0</v>
      </c>
      <c r="J218">
        <f t="shared" ca="1" si="13"/>
        <v>0</v>
      </c>
    </row>
    <row r="219" spans="1:10">
      <c r="A219" s="316">
        <v>216</v>
      </c>
      <c r="B219" s="312">
        <f t="shared" ca="1" si="15"/>
        <v>0</v>
      </c>
      <c r="E219" s="165">
        <f t="shared" ca="1" si="16"/>
        <v>1</v>
      </c>
      <c r="F219" s="165">
        <f t="shared" ca="1" si="14"/>
        <v>0</v>
      </c>
      <c r="J219">
        <f t="shared" ref="J219:J259" ca="1" si="17">IF($I$3&lt;=A219,0,1)</f>
        <v>0</v>
      </c>
    </row>
    <row r="220" spans="1:10">
      <c r="A220" s="316">
        <v>217</v>
      </c>
      <c r="B220" s="312">
        <f t="shared" ca="1" si="15"/>
        <v>0</v>
      </c>
      <c r="E220" s="165">
        <f t="shared" ca="1" si="16"/>
        <v>1</v>
      </c>
      <c r="F220" s="165">
        <f t="shared" ca="1" si="14"/>
        <v>0</v>
      </c>
      <c r="J220">
        <f t="shared" ca="1" si="17"/>
        <v>0</v>
      </c>
    </row>
    <row r="221" spans="1:10">
      <c r="A221" s="316">
        <v>218</v>
      </c>
      <c r="B221" s="312">
        <f t="shared" ca="1" si="15"/>
        <v>0</v>
      </c>
      <c r="E221" s="165">
        <f t="shared" ca="1" si="16"/>
        <v>1</v>
      </c>
      <c r="F221" s="165">
        <f t="shared" ca="1" si="14"/>
        <v>0</v>
      </c>
      <c r="J221">
        <f t="shared" ca="1" si="17"/>
        <v>0</v>
      </c>
    </row>
    <row r="222" spans="1:10">
      <c r="A222" s="316">
        <v>219</v>
      </c>
      <c r="B222" s="312">
        <f t="shared" ca="1" si="15"/>
        <v>0</v>
      </c>
      <c r="E222" s="165">
        <f t="shared" ca="1" si="16"/>
        <v>1</v>
      </c>
      <c r="F222" s="165">
        <f t="shared" ca="1" si="14"/>
        <v>0</v>
      </c>
      <c r="J222">
        <f t="shared" ca="1" si="17"/>
        <v>0</v>
      </c>
    </row>
    <row r="223" spans="1:10">
      <c r="A223" s="316">
        <v>220</v>
      </c>
      <c r="B223" s="312">
        <f t="shared" ca="1" si="15"/>
        <v>0</v>
      </c>
      <c r="E223" s="165">
        <f t="shared" ca="1" si="16"/>
        <v>1</v>
      </c>
      <c r="F223" s="165">
        <f t="shared" ca="1" si="14"/>
        <v>0</v>
      </c>
      <c r="J223">
        <f t="shared" ca="1" si="17"/>
        <v>0</v>
      </c>
    </row>
    <row r="224" spans="1:10">
      <c r="A224" s="316">
        <v>221</v>
      </c>
      <c r="B224" s="312">
        <f t="shared" ca="1" si="15"/>
        <v>0</v>
      </c>
      <c r="E224" s="165">
        <f t="shared" ca="1" si="16"/>
        <v>1</v>
      </c>
      <c r="F224" s="165">
        <f t="shared" ca="1" si="14"/>
        <v>0</v>
      </c>
      <c r="J224">
        <f t="shared" ca="1" si="17"/>
        <v>0</v>
      </c>
    </row>
    <row r="225" spans="1:10">
      <c r="A225" s="316">
        <v>222</v>
      </c>
      <c r="B225" s="312">
        <f t="shared" ca="1" si="15"/>
        <v>0</v>
      </c>
      <c r="E225" s="165">
        <f t="shared" ca="1" si="16"/>
        <v>1</v>
      </c>
      <c r="F225" s="165">
        <f t="shared" ca="1" si="14"/>
        <v>0</v>
      </c>
      <c r="J225">
        <f t="shared" ca="1" si="17"/>
        <v>0</v>
      </c>
    </row>
    <row r="226" spans="1:10">
      <c r="A226" s="316">
        <v>223</v>
      </c>
      <c r="B226" s="312">
        <f t="shared" ca="1" si="15"/>
        <v>0</v>
      </c>
      <c r="E226" s="165">
        <f t="shared" ca="1" si="16"/>
        <v>1</v>
      </c>
      <c r="F226" s="165">
        <f t="shared" ca="1" si="14"/>
        <v>0</v>
      </c>
      <c r="J226">
        <f t="shared" ca="1" si="17"/>
        <v>0</v>
      </c>
    </row>
    <row r="227" spans="1:10">
      <c r="A227" s="316">
        <v>224</v>
      </c>
      <c r="B227" s="312">
        <f t="shared" ca="1" si="15"/>
        <v>0</v>
      </c>
      <c r="E227" s="165">
        <f t="shared" ca="1" si="16"/>
        <v>1</v>
      </c>
      <c r="F227" s="165">
        <f t="shared" ca="1" si="14"/>
        <v>0</v>
      </c>
      <c r="J227">
        <f t="shared" ca="1" si="17"/>
        <v>0</v>
      </c>
    </row>
    <row r="228" spans="1:10">
      <c r="A228" s="316">
        <v>225</v>
      </c>
      <c r="B228" s="312">
        <f t="shared" ca="1" si="15"/>
        <v>0</v>
      </c>
      <c r="E228" s="165">
        <f t="shared" ca="1" si="16"/>
        <v>1</v>
      </c>
      <c r="F228" s="165">
        <f t="shared" ca="1" si="14"/>
        <v>0</v>
      </c>
      <c r="J228">
        <f t="shared" ca="1" si="17"/>
        <v>0</v>
      </c>
    </row>
    <row r="229" spans="1:10">
      <c r="A229" s="316">
        <v>226</v>
      </c>
      <c r="B229" s="312">
        <f t="shared" ca="1" si="15"/>
        <v>0</v>
      </c>
      <c r="E229" s="165">
        <f t="shared" ca="1" si="16"/>
        <v>1</v>
      </c>
      <c r="F229" s="165">
        <f t="shared" ca="1" si="14"/>
        <v>0</v>
      </c>
      <c r="J229">
        <f t="shared" ca="1" si="17"/>
        <v>0</v>
      </c>
    </row>
    <row r="230" spans="1:10">
      <c r="A230" s="316">
        <v>227</v>
      </c>
      <c r="B230" s="312">
        <f t="shared" ca="1" si="15"/>
        <v>0</v>
      </c>
      <c r="E230" s="165">
        <f t="shared" ca="1" si="16"/>
        <v>1</v>
      </c>
      <c r="F230" s="165">
        <f t="shared" ca="1" si="14"/>
        <v>0</v>
      </c>
      <c r="J230">
        <f t="shared" ca="1" si="17"/>
        <v>0</v>
      </c>
    </row>
    <row r="231" spans="1:10">
      <c r="A231" s="316">
        <v>228</v>
      </c>
      <c r="B231" s="312">
        <f t="shared" ca="1" si="15"/>
        <v>0</v>
      </c>
      <c r="E231" s="165">
        <f t="shared" ca="1" si="16"/>
        <v>1</v>
      </c>
      <c r="F231" s="165">
        <f t="shared" ca="1" si="14"/>
        <v>0</v>
      </c>
      <c r="J231">
        <f t="shared" ca="1" si="17"/>
        <v>0</v>
      </c>
    </row>
    <row r="232" spans="1:10">
      <c r="A232" s="316">
        <v>229</v>
      </c>
      <c r="B232" s="312">
        <f t="shared" ca="1" si="15"/>
        <v>0</v>
      </c>
      <c r="E232" s="165">
        <f t="shared" ca="1" si="16"/>
        <v>1</v>
      </c>
      <c r="F232" s="165">
        <f t="shared" ca="1" si="14"/>
        <v>0</v>
      </c>
      <c r="J232">
        <f t="shared" ca="1" si="17"/>
        <v>0</v>
      </c>
    </row>
    <row r="233" spans="1:10">
      <c r="A233" s="316">
        <v>230</v>
      </c>
      <c r="B233" s="312">
        <f t="shared" ca="1" si="15"/>
        <v>0</v>
      </c>
      <c r="E233" s="165">
        <f t="shared" ca="1" si="16"/>
        <v>1</v>
      </c>
      <c r="F233" s="165">
        <f t="shared" ca="1" si="14"/>
        <v>0</v>
      </c>
      <c r="J233">
        <f t="shared" ca="1" si="17"/>
        <v>0</v>
      </c>
    </row>
    <row r="234" spans="1:10">
      <c r="A234" s="316">
        <v>231</v>
      </c>
      <c r="B234" s="312">
        <f t="shared" ca="1" si="15"/>
        <v>0</v>
      </c>
      <c r="E234" s="165">
        <f t="shared" ca="1" si="16"/>
        <v>1</v>
      </c>
      <c r="F234" s="165">
        <f t="shared" ca="1" si="14"/>
        <v>0</v>
      </c>
      <c r="J234">
        <f t="shared" ca="1" si="17"/>
        <v>0</v>
      </c>
    </row>
    <row r="235" spans="1:10">
      <c r="A235" s="316">
        <v>232</v>
      </c>
      <c r="B235" s="312">
        <f t="shared" ca="1" si="15"/>
        <v>0</v>
      </c>
      <c r="E235" s="165">
        <f t="shared" ca="1" si="16"/>
        <v>1</v>
      </c>
      <c r="F235" s="165">
        <f t="shared" ca="1" si="14"/>
        <v>0</v>
      </c>
      <c r="J235">
        <f t="shared" ca="1" si="17"/>
        <v>0</v>
      </c>
    </row>
    <row r="236" spans="1:10">
      <c r="A236" s="316">
        <v>233</v>
      </c>
      <c r="B236" s="312">
        <f t="shared" ca="1" si="15"/>
        <v>0</v>
      </c>
      <c r="E236" s="165">
        <f t="shared" ca="1" si="16"/>
        <v>1</v>
      </c>
      <c r="F236" s="165">
        <f t="shared" ca="1" si="14"/>
        <v>0</v>
      </c>
      <c r="J236">
        <f t="shared" ca="1" si="17"/>
        <v>0</v>
      </c>
    </row>
    <row r="237" spans="1:10">
      <c r="A237" s="316">
        <v>234</v>
      </c>
      <c r="B237" s="312">
        <f t="shared" ca="1" si="15"/>
        <v>0</v>
      </c>
      <c r="E237" s="165">
        <f t="shared" ca="1" si="16"/>
        <v>1</v>
      </c>
      <c r="F237" s="165">
        <f t="shared" ca="1" si="14"/>
        <v>0</v>
      </c>
      <c r="J237">
        <f t="shared" ca="1" si="17"/>
        <v>0</v>
      </c>
    </row>
    <row r="238" spans="1:10">
      <c r="A238" s="316">
        <v>235</v>
      </c>
      <c r="B238" s="312">
        <f t="shared" ca="1" si="15"/>
        <v>0</v>
      </c>
      <c r="E238" s="165">
        <f t="shared" ca="1" si="16"/>
        <v>1</v>
      </c>
      <c r="F238" s="165">
        <f t="shared" ca="1" si="14"/>
        <v>0</v>
      </c>
      <c r="J238">
        <f t="shared" ca="1" si="17"/>
        <v>0</v>
      </c>
    </row>
    <row r="239" spans="1:10">
      <c r="A239" s="316">
        <v>236</v>
      </c>
      <c r="B239" s="312">
        <f t="shared" ca="1" si="15"/>
        <v>0</v>
      </c>
      <c r="E239" s="165">
        <f t="shared" ca="1" si="16"/>
        <v>1</v>
      </c>
      <c r="F239" s="165">
        <f t="shared" ca="1" si="14"/>
        <v>0</v>
      </c>
      <c r="J239">
        <f t="shared" ca="1" si="17"/>
        <v>0</v>
      </c>
    </row>
    <row r="240" spans="1:10">
      <c r="A240" s="316">
        <v>237</v>
      </c>
      <c r="B240" s="312">
        <f t="shared" ca="1" si="15"/>
        <v>0</v>
      </c>
      <c r="E240" s="165">
        <f t="shared" ca="1" si="16"/>
        <v>1</v>
      </c>
      <c r="F240" s="165">
        <f t="shared" ca="1" si="14"/>
        <v>0</v>
      </c>
      <c r="J240">
        <f t="shared" ca="1" si="17"/>
        <v>0</v>
      </c>
    </row>
    <row r="241" spans="1:10">
      <c r="A241" s="316">
        <v>238</v>
      </c>
      <c r="B241" s="312">
        <f t="shared" ca="1" si="15"/>
        <v>0</v>
      </c>
      <c r="E241" s="165">
        <f t="shared" ca="1" si="16"/>
        <v>1</v>
      </c>
      <c r="F241" s="165">
        <f t="shared" ca="1" si="14"/>
        <v>0</v>
      </c>
      <c r="J241">
        <f t="shared" ca="1" si="17"/>
        <v>0</v>
      </c>
    </row>
    <row r="242" spans="1:10">
      <c r="A242" s="316">
        <v>239</v>
      </c>
      <c r="B242" s="312">
        <f t="shared" ca="1" si="15"/>
        <v>0</v>
      </c>
      <c r="E242" s="165">
        <f t="shared" ca="1" si="16"/>
        <v>1</v>
      </c>
      <c r="F242" s="165">
        <f t="shared" ca="1" si="14"/>
        <v>0</v>
      </c>
      <c r="J242">
        <f t="shared" ca="1" si="17"/>
        <v>0</v>
      </c>
    </row>
    <row r="243" spans="1:10">
      <c r="A243" s="316">
        <v>240</v>
      </c>
      <c r="B243" s="312">
        <f t="shared" ca="1" si="15"/>
        <v>0</v>
      </c>
      <c r="E243" s="165">
        <f t="shared" ca="1" si="16"/>
        <v>1</v>
      </c>
      <c r="F243" s="165">
        <f t="shared" ca="1" si="14"/>
        <v>0</v>
      </c>
      <c r="J243">
        <f t="shared" ca="1" si="17"/>
        <v>0</v>
      </c>
    </row>
    <row r="244" spans="1:10">
      <c r="A244" s="316">
        <v>241</v>
      </c>
      <c r="B244" s="312">
        <f t="shared" ca="1" si="15"/>
        <v>0</v>
      </c>
      <c r="E244" s="165">
        <f t="shared" ca="1" si="16"/>
        <v>1</v>
      </c>
      <c r="F244" s="165">
        <f t="shared" ca="1" si="14"/>
        <v>0</v>
      </c>
      <c r="J244">
        <f t="shared" ca="1" si="17"/>
        <v>0</v>
      </c>
    </row>
    <row r="245" spans="1:10">
      <c r="A245" s="316">
        <v>242</v>
      </c>
      <c r="B245" s="312">
        <f t="shared" ca="1" si="15"/>
        <v>0</v>
      </c>
      <c r="E245" s="165">
        <f t="shared" ca="1" si="16"/>
        <v>1</v>
      </c>
      <c r="F245" s="165">
        <f t="shared" ca="1" si="14"/>
        <v>0</v>
      </c>
      <c r="J245">
        <f t="shared" ca="1" si="17"/>
        <v>0</v>
      </c>
    </row>
    <row r="246" spans="1:10">
      <c r="A246" s="316">
        <v>243</v>
      </c>
      <c r="B246" s="312">
        <f t="shared" ca="1" si="15"/>
        <v>0</v>
      </c>
      <c r="E246" s="165">
        <f t="shared" ca="1" si="16"/>
        <v>1</v>
      </c>
      <c r="F246" s="165">
        <f t="shared" ca="1" si="14"/>
        <v>0</v>
      </c>
      <c r="J246">
        <f t="shared" ca="1" si="17"/>
        <v>0</v>
      </c>
    </row>
    <row r="247" spans="1:10">
      <c r="A247" s="316">
        <v>244</v>
      </c>
      <c r="B247" s="312">
        <f t="shared" ca="1" si="15"/>
        <v>0</v>
      </c>
      <c r="E247" s="165">
        <f t="shared" ca="1" si="16"/>
        <v>1</v>
      </c>
      <c r="F247" s="165">
        <f t="shared" ca="1" si="14"/>
        <v>0</v>
      </c>
      <c r="J247">
        <f t="shared" ca="1" si="17"/>
        <v>0</v>
      </c>
    </row>
    <row r="248" spans="1:10">
      <c r="A248" s="316">
        <v>245</v>
      </c>
      <c r="B248" s="312">
        <f t="shared" ca="1" si="15"/>
        <v>0</v>
      </c>
      <c r="E248" s="165">
        <f t="shared" ca="1" si="16"/>
        <v>1</v>
      </c>
      <c r="F248" s="165">
        <f t="shared" ca="1" si="14"/>
        <v>0</v>
      </c>
      <c r="J248">
        <f t="shared" ca="1" si="17"/>
        <v>0</v>
      </c>
    </row>
    <row r="249" spans="1:10">
      <c r="A249" s="316">
        <v>246</v>
      </c>
      <c r="B249" s="312">
        <f t="shared" ca="1" si="15"/>
        <v>0</v>
      </c>
      <c r="E249" s="165">
        <f t="shared" ca="1" si="16"/>
        <v>1</v>
      </c>
      <c r="F249" s="165">
        <f t="shared" ca="1" si="14"/>
        <v>0</v>
      </c>
      <c r="J249">
        <f t="shared" ca="1" si="17"/>
        <v>0</v>
      </c>
    </row>
    <row r="250" spans="1:10">
      <c r="A250" s="316">
        <v>247</v>
      </c>
      <c r="B250" s="312">
        <f t="shared" ca="1" si="15"/>
        <v>0</v>
      </c>
      <c r="E250" s="165">
        <f t="shared" ca="1" si="16"/>
        <v>1</v>
      </c>
      <c r="F250" s="165">
        <f t="shared" ca="1" si="14"/>
        <v>0</v>
      </c>
      <c r="J250">
        <f t="shared" ca="1" si="17"/>
        <v>0</v>
      </c>
    </row>
    <row r="251" spans="1:10">
      <c r="A251" s="316">
        <v>248</v>
      </c>
      <c r="B251" s="312">
        <f t="shared" ca="1" si="15"/>
        <v>0</v>
      </c>
      <c r="E251" s="165">
        <f t="shared" ca="1" si="16"/>
        <v>1</v>
      </c>
      <c r="F251" s="165">
        <f t="shared" ca="1" si="14"/>
        <v>0</v>
      </c>
      <c r="J251">
        <f t="shared" ca="1" si="17"/>
        <v>0</v>
      </c>
    </row>
    <row r="252" spans="1:10">
      <c r="A252" s="316">
        <v>249</v>
      </c>
      <c r="B252" s="312">
        <f t="shared" ca="1" si="15"/>
        <v>0</v>
      </c>
      <c r="E252" s="165">
        <f t="shared" ca="1" si="16"/>
        <v>1</v>
      </c>
      <c r="F252" s="165">
        <f t="shared" ca="1" si="14"/>
        <v>0</v>
      </c>
      <c r="J252">
        <f t="shared" ca="1" si="17"/>
        <v>0</v>
      </c>
    </row>
    <row r="253" spans="1:10">
      <c r="A253" s="316">
        <v>250</v>
      </c>
      <c r="B253" s="312">
        <f t="shared" ca="1" si="15"/>
        <v>0</v>
      </c>
      <c r="E253" s="165">
        <f t="shared" ca="1" si="16"/>
        <v>1</v>
      </c>
      <c r="F253" s="165">
        <f t="shared" ca="1" si="14"/>
        <v>0</v>
      </c>
      <c r="J253">
        <f t="shared" ca="1" si="17"/>
        <v>0</v>
      </c>
    </row>
    <row r="254" spans="1:10">
      <c r="A254" s="316">
        <v>251</v>
      </c>
      <c r="B254" s="312">
        <f t="shared" ca="1" si="15"/>
        <v>0</v>
      </c>
      <c r="E254" s="165">
        <f t="shared" ca="1" si="16"/>
        <v>1</v>
      </c>
      <c r="F254" s="165">
        <f t="shared" ca="1" si="14"/>
        <v>0</v>
      </c>
      <c r="J254">
        <f t="shared" ca="1" si="17"/>
        <v>0</v>
      </c>
    </row>
    <row r="255" spans="1:10">
      <c r="A255" s="316">
        <v>252</v>
      </c>
      <c r="B255" s="312">
        <f t="shared" ca="1" si="15"/>
        <v>0</v>
      </c>
      <c r="E255" s="165">
        <f t="shared" ca="1" si="16"/>
        <v>1</v>
      </c>
      <c r="F255" s="165">
        <f t="shared" ca="1" si="14"/>
        <v>0</v>
      </c>
      <c r="J255">
        <f t="shared" ca="1" si="17"/>
        <v>0</v>
      </c>
    </row>
    <row r="256" spans="1:10">
      <c r="A256" s="316">
        <v>253</v>
      </c>
      <c r="B256" s="312">
        <f t="shared" ca="1" si="15"/>
        <v>0</v>
      </c>
      <c r="E256" s="165">
        <f t="shared" ca="1" si="16"/>
        <v>1</v>
      </c>
      <c r="F256" s="165">
        <f t="shared" ca="1" si="14"/>
        <v>0</v>
      </c>
      <c r="J256">
        <f t="shared" ca="1" si="17"/>
        <v>0</v>
      </c>
    </row>
    <row r="257" spans="1:10">
      <c r="A257" s="316">
        <v>254</v>
      </c>
      <c r="B257" s="312">
        <f t="shared" ca="1" si="15"/>
        <v>0</v>
      </c>
      <c r="E257" s="165">
        <f t="shared" ca="1" si="16"/>
        <v>1</v>
      </c>
      <c r="F257" s="165">
        <f t="shared" ca="1" si="14"/>
        <v>0</v>
      </c>
      <c r="J257">
        <f t="shared" ca="1" si="17"/>
        <v>0</v>
      </c>
    </row>
    <row r="258" spans="1:10">
      <c r="A258" s="316">
        <v>255</v>
      </c>
      <c r="B258" s="312">
        <f t="shared" ca="1" si="15"/>
        <v>0</v>
      </c>
      <c r="E258" s="165">
        <f t="shared" ca="1" si="16"/>
        <v>1</v>
      </c>
      <c r="F258" s="165">
        <f t="shared" ca="1" si="14"/>
        <v>0</v>
      </c>
      <c r="J258">
        <f t="shared" ca="1" si="17"/>
        <v>0</v>
      </c>
    </row>
    <row r="259" spans="1:10">
      <c r="A259" s="316">
        <v>256</v>
      </c>
      <c r="B259" s="312">
        <f t="shared" ca="1" si="15"/>
        <v>0</v>
      </c>
      <c r="E259" s="165">
        <f t="shared" ca="1" si="16"/>
        <v>1</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I41" activePane="bottomRight" state="frozen"/>
      <selection sqref="A1:B1"/>
      <selection pane="topRight" sqref="A1:B1"/>
      <selection pane="bottomLeft" sqref="A1:B1"/>
      <selection pane="bottomRight" activeCell="AP10" sqref="AP10"/>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41.877062500000001</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17074</v>
      </c>
      <c r="M2" s="416" t="s">
        <v>321</v>
      </c>
      <c r="N2" s="417" t="s">
        <v>99</v>
      </c>
      <c r="O2" s="403"/>
      <c r="P2" s="403"/>
      <c r="Q2" s="403"/>
      <c r="R2" s="408" t="s">
        <v>322</v>
      </c>
      <c r="S2" s="410">
        <f>IF(TYPE(VLOOKUP(Start.listina!N2,Bonusy!A4:B8,2,0))&gt;3,0,VLOOKUP(Start.listina!N2,Bonusy!A4:B8,2,0))</f>
        <v>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15.04.2017</v>
      </c>
      <c r="L3" s="403"/>
      <c r="M3" s="416" t="s">
        <v>17</v>
      </c>
      <c r="N3" s="417"/>
      <c r="O3" s="403"/>
      <c r="P3" s="403"/>
      <c r="Q3" s="403"/>
      <c r="R3" s="408" t="s">
        <v>323</v>
      </c>
      <c r="S3" s="410">
        <f>IF(TYPE(VLOOKUP(Start.listina!N2,Paušál!A4:B7,2,0))&gt;3,0,VLOOKUP(Start.listina!N2,Paušál!A4:B7,2,0))</f>
        <v>1</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Ostře sledované koule</v>
      </c>
      <c r="L4" s="423"/>
      <c r="M4" s="423"/>
      <c r="N4" s="424"/>
      <c r="O4" s="403"/>
      <c r="P4" s="425">
        <v>0</v>
      </c>
      <c r="Q4" s="403"/>
      <c r="R4" s="408" t="s">
        <v>7</v>
      </c>
      <c r="S4" s="410">
        <f ca="1">'Počet kol'!$D$3</f>
        <v>6</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Loděnice</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9</v>
      </c>
      <c r="O6" s="403"/>
      <c r="P6" s="403"/>
      <c r="Q6" s="403"/>
      <c r="R6" s="408" t="s">
        <v>12</v>
      </c>
      <c r="S6" s="431">
        <f ca="1">IF(S7=0,0,ROUNDUP(LOG(S7,2),0)*U5/60)</f>
        <v>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63</v>
      </c>
      <c r="L7" s="436" t="s">
        <v>11</v>
      </c>
      <c r="M7" s="437">
        <v>4</v>
      </c>
      <c r="N7" s="439">
        <v>9</v>
      </c>
      <c r="O7" s="440">
        <f ca="1">IF(TYPE(N6+N7)&gt;3,"",N6+N7)</f>
        <v>18</v>
      </c>
      <c r="P7" s="403" t="s">
        <v>13</v>
      </c>
      <c r="Q7" s="403"/>
      <c r="R7" s="408" t="s">
        <v>14</v>
      </c>
      <c r="S7" s="410">
        <f ca="1">O7*2</f>
        <v>36</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27</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2</v>
      </c>
      <c r="B11" s="469">
        <f t="shared" ref="B11:B42" ca="1" si="1">IF(AND(TYPE(G11&lt;15),G11=FALSE),1,0)</f>
        <v>1</v>
      </c>
      <c r="C11" s="469">
        <f t="shared" ref="C11:C42" ca="1" si="2">IF(B11=0,0,N11+T11+Z11)</f>
        <v>92.25</v>
      </c>
      <c r="D11" s="469">
        <f t="shared" ref="D11:D42" ca="1" si="3">IF(B11=0,99999,M11+S11+Y11)</f>
        <v>10055</v>
      </c>
      <c r="E11" s="433">
        <f t="shared" ref="E11:E42" si="4">MIN(M11,S11,Y11)</f>
        <v>5</v>
      </c>
      <c r="F11" s="434" t="str">
        <f t="shared" ref="F11:F42" ca="1" si="5">CONCATENATE(IF(AND($P$4=1,H11&gt;2*$O$7),"0","9"),TEXT(B11,"0"),IF(AND($P$4=1,H11&gt;2*$O$7),"000000",TEXT(1000*C11,"000000")),IF(AND($P$4=1,H11&gt;2*$O$7),"000000",TEXT(999999-D11,"000000")),IF(AND($P$4=1,H11&gt;2*$O$7),"000000",TEXT(999999-E11,"000000")),TEXT(999999*RAND(),"000000"))</f>
        <v>91092250989944999994741775</v>
      </c>
      <c r="G11" s="470" t="b">
        <f t="shared" ref="G11:G42" ca="1" si="6">IF(OR($K$6&gt;A11,AR11&gt;0),TRUE,FALSE)</f>
        <v>0</v>
      </c>
      <c r="H11" s="471">
        <f t="shared" ref="H11:H42" si="7">ROW(H11)-10</f>
        <v>1</v>
      </c>
      <c r="I11" s="472">
        <v>29062</v>
      </c>
      <c r="J11" s="473" t="s">
        <v>1072</v>
      </c>
      <c r="K11" s="474" t="s">
        <v>1659</v>
      </c>
      <c r="L11" s="474" t="s">
        <v>470</v>
      </c>
      <c r="M11" s="475">
        <v>5</v>
      </c>
      <c r="N11" s="476">
        <v>57.25</v>
      </c>
      <c r="O11" s="472">
        <v>12086</v>
      </c>
      <c r="P11" s="473" t="s">
        <v>1216</v>
      </c>
      <c r="Q11" s="474" t="s">
        <v>564</v>
      </c>
      <c r="R11" s="474" t="s">
        <v>495</v>
      </c>
      <c r="S11" s="475">
        <v>51</v>
      </c>
      <c r="T11" s="476">
        <v>35</v>
      </c>
      <c r="U11" s="472" t="s">
        <v>2043</v>
      </c>
      <c r="V11" s="473" t="s">
        <v>119</v>
      </c>
      <c r="W11" s="474" t="s">
        <v>119</v>
      </c>
      <c r="X11" s="474" t="s">
        <v>119</v>
      </c>
      <c r="Y11" s="475">
        <v>9999</v>
      </c>
      <c r="Z11" s="476">
        <v>0</v>
      </c>
      <c r="AA11" s="472" t="s">
        <v>2043</v>
      </c>
      <c r="AB11" s="473" t="s">
        <v>119</v>
      </c>
      <c r="AC11" s="474" t="s">
        <v>119</v>
      </c>
      <c r="AD11" s="474" t="s">
        <v>119</v>
      </c>
      <c r="AE11" s="475">
        <v>9999</v>
      </c>
      <c r="AF11" s="476">
        <v>0</v>
      </c>
      <c r="AG11" s="477"/>
      <c r="AH11" s="483">
        <f ca="1">IF(TYPE(VLOOKUP(H11,Nasazení!$A$3:$E$130,5,0))&lt;4,VLOOKUP(H11,Nasazení!$A$3:$E$130,5,0),0)</f>
        <v>32</v>
      </c>
      <c r="AI11" s="478">
        <f ca="1">IF(N($AH11)&gt;0,VLOOKUP($AH11,Body!$A$4:$F$259,5,0),"")</f>
        <v>41.877062500000001</v>
      </c>
      <c r="AJ11" s="479">
        <f ca="1">IF(N($AH11)&gt;0,VLOOKUP($AH11,Body!$A$4:$F$259,6,0),"")</f>
        <v>0</v>
      </c>
      <c r="AK11" s="478">
        <f ca="1">IF(N($AH11)&gt;0,VLOOKUP($AH11,Body!$A$4:$F$259,2,0),"")</f>
        <v>1</v>
      </c>
      <c r="AL11" s="480" t="str">
        <f t="shared" ref="AL11:AL42" ca="1" si="8">IF(N(H11)&gt;$K$7,"",CONCATENATE(IF($U$7="","",H11&amp;" "),L11,IF(L11="",""," - "),J11," ",K11))</f>
        <v>1 PC Sokol Lipník - Vavrovič Petr ml.</v>
      </c>
      <c r="AM11" s="481">
        <f t="shared" ref="AM11:AM42" ca="1" si="9">C11</f>
        <v>92.25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2</v>
      </c>
      <c r="B12" s="433">
        <f t="shared" ca="1" si="1"/>
        <v>1</v>
      </c>
      <c r="C12" s="433">
        <f t="shared" ca="1" si="2"/>
        <v>89.5</v>
      </c>
      <c r="D12" s="433">
        <f t="shared" ca="1" si="3"/>
        <v>10100</v>
      </c>
      <c r="E12" s="433">
        <f t="shared" si="4"/>
        <v>38</v>
      </c>
      <c r="F12" s="434" t="str">
        <f t="shared" ca="1" si="5"/>
        <v>91089500989899999961130933</v>
      </c>
      <c r="G12" s="470" t="b">
        <f t="shared" ca="1" si="6"/>
        <v>0</v>
      </c>
      <c r="H12" s="471">
        <f t="shared" si="7"/>
        <v>2</v>
      </c>
      <c r="I12" s="472">
        <v>99510</v>
      </c>
      <c r="J12" s="473" t="s">
        <v>633</v>
      </c>
      <c r="K12" s="474" t="s">
        <v>634</v>
      </c>
      <c r="L12" s="474" t="s">
        <v>472</v>
      </c>
      <c r="M12" s="475">
        <v>63</v>
      </c>
      <c r="N12" s="476">
        <v>42.75</v>
      </c>
      <c r="O12" s="472">
        <v>99574</v>
      </c>
      <c r="P12" s="473" t="s">
        <v>635</v>
      </c>
      <c r="Q12" s="474" t="s">
        <v>636</v>
      </c>
      <c r="R12" s="474" t="s">
        <v>472</v>
      </c>
      <c r="S12" s="475">
        <v>38</v>
      </c>
      <c r="T12" s="476">
        <v>46.75</v>
      </c>
      <c r="U12" s="472" t="s">
        <v>2043</v>
      </c>
      <c r="V12" s="473" t="s">
        <v>119</v>
      </c>
      <c r="W12" s="474" t="s">
        <v>119</v>
      </c>
      <c r="X12" s="474" t="s">
        <v>119</v>
      </c>
      <c r="Y12" s="475">
        <v>9999</v>
      </c>
      <c r="Z12" s="476">
        <v>0</v>
      </c>
      <c r="AA12" s="472" t="s">
        <v>2043</v>
      </c>
      <c r="AB12" s="473" t="s">
        <v>119</v>
      </c>
      <c r="AC12" s="474" t="s">
        <v>119</v>
      </c>
      <c r="AD12" s="474" t="s">
        <v>119</v>
      </c>
      <c r="AE12" s="475">
        <v>9999</v>
      </c>
      <c r="AF12" s="476">
        <v>0</v>
      </c>
      <c r="AG12" s="477"/>
      <c r="AH12" s="483">
        <f ca="1">IF(TYPE(VLOOKUP(H12,Nasazení!$A$3:$E$130,5,0))&lt;4,VLOOKUP(H12,Nasazení!$A$3:$E$130,5,0),0)</f>
        <v>16</v>
      </c>
      <c r="AI12" s="478">
        <f ca="1">IF(N($AH12)&gt;0,VLOOKUP($AH12,Body!$A$4:$F$259,5,0),"")</f>
        <v>83.754125000000002</v>
      </c>
      <c r="AJ12" s="479">
        <f ca="1">IF(N($AH12)&gt;0,VLOOKUP($AH12,Body!$A$4:$F$259,6,0),"")</f>
        <v>0</v>
      </c>
      <c r="AK12" s="478">
        <f ca="1">IF(N($AH12)&gt;0,VLOOKUP($AH12,Body!$A$4:$F$259,2,0),"")</f>
        <v>2</v>
      </c>
      <c r="AL12" s="480" t="str">
        <f t="shared" ca="1" si="8"/>
        <v>2 SK Sahara Vědomice - Demčík Milan St.</v>
      </c>
      <c r="AM12" s="481">
        <f t="shared" ca="1" si="9"/>
        <v>89.5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2</v>
      </c>
      <c r="B13" s="433">
        <f t="shared" ca="1" si="1"/>
        <v>1</v>
      </c>
      <c r="C13" s="433">
        <f t="shared" ca="1" si="2"/>
        <v>87.843999999999994</v>
      </c>
      <c r="D13" s="433">
        <f t="shared" ca="1" si="3"/>
        <v>10100</v>
      </c>
      <c r="E13" s="433">
        <f t="shared" si="4"/>
        <v>36</v>
      </c>
      <c r="F13" s="434" t="str">
        <f t="shared" ca="1" si="5"/>
        <v>91087844989899999963654277</v>
      </c>
      <c r="G13" s="470" t="b">
        <f t="shared" ca="1" si="6"/>
        <v>0</v>
      </c>
      <c r="H13" s="471">
        <f t="shared" si="7"/>
        <v>3</v>
      </c>
      <c r="I13" s="472">
        <v>12020</v>
      </c>
      <c r="J13" s="473" t="s">
        <v>670</v>
      </c>
      <c r="K13" s="474" t="s">
        <v>572</v>
      </c>
      <c r="L13" s="474" t="s">
        <v>470</v>
      </c>
      <c r="M13" s="475">
        <v>36</v>
      </c>
      <c r="N13" s="476">
        <v>51.75</v>
      </c>
      <c r="O13" s="472">
        <v>13044</v>
      </c>
      <c r="P13" s="473" t="s">
        <v>1213</v>
      </c>
      <c r="Q13" s="474" t="s">
        <v>539</v>
      </c>
      <c r="R13" s="474" t="s">
        <v>470</v>
      </c>
      <c r="S13" s="475">
        <v>65</v>
      </c>
      <c r="T13" s="476">
        <v>36.094000000000001</v>
      </c>
      <c r="U13" s="472" t="s">
        <v>2043</v>
      </c>
      <c r="V13" s="473" t="s">
        <v>119</v>
      </c>
      <c r="W13" s="474" t="s">
        <v>119</v>
      </c>
      <c r="X13" s="474" t="s">
        <v>119</v>
      </c>
      <c r="Y13" s="475">
        <v>9999</v>
      </c>
      <c r="Z13" s="476">
        <v>0</v>
      </c>
      <c r="AA13" s="472" t="s">
        <v>2043</v>
      </c>
      <c r="AB13" s="473" t="s">
        <v>119</v>
      </c>
      <c r="AC13" s="474" t="s">
        <v>119</v>
      </c>
      <c r="AD13" s="474" t="s">
        <v>119</v>
      </c>
      <c r="AE13" s="475">
        <v>9999</v>
      </c>
      <c r="AF13" s="476">
        <v>0</v>
      </c>
      <c r="AG13" s="477"/>
      <c r="AH13" s="483">
        <f ca="1">IF(TYPE(VLOOKUP(H13,Nasazení!$A$3:$E$130,5,0))&lt;4,VLOOKUP(H13,Nasazení!$A$3:$E$130,5,0),0)</f>
        <v>2</v>
      </c>
      <c r="AI13" s="478">
        <f ca="1">IF(N($AH13)&gt;0,VLOOKUP($AH13,Body!$A$4:$F$259,5,0),"")</f>
        <v>209.3853125</v>
      </c>
      <c r="AJ13" s="479">
        <f ca="1">IF(N($AH13)&gt;0,VLOOKUP($AH13,Body!$A$4:$F$259,6,0),"")</f>
        <v>0</v>
      </c>
      <c r="AK13" s="478">
        <f ca="1">IF(N($AH13)&gt;0,VLOOKUP($AH13,Body!$A$4:$F$259,2,0),"")</f>
        <v>5</v>
      </c>
      <c r="AL13" s="480" t="str">
        <f t="shared" ca="1" si="8"/>
        <v>3 PC Sokol Lipník - Fafek Petr</v>
      </c>
      <c r="AM13" s="481">
        <f t="shared" ca="1" si="9"/>
        <v>87.843999999999994</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2</v>
      </c>
      <c r="B14" s="433">
        <f t="shared" ca="1" si="1"/>
        <v>1</v>
      </c>
      <c r="C14" s="433">
        <f t="shared" ca="1" si="2"/>
        <v>80.343999999999994</v>
      </c>
      <c r="D14" s="433">
        <f t="shared" ca="1" si="3"/>
        <v>10086</v>
      </c>
      <c r="E14" s="433">
        <f t="shared" si="4"/>
        <v>9</v>
      </c>
      <c r="F14" s="434" t="str">
        <f t="shared" ca="1" si="5"/>
        <v>91080344989913999990779708</v>
      </c>
      <c r="G14" s="470" t="b">
        <f t="shared" ca="1" si="6"/>
        <v>0</v>
      </c>
      <c r="H14" s="471">
        <f t="shared" si="7"/>
        <v>4</v>
      </c>
      <c r="I14" s="472">
        <v>27039</v>
      </c>
      <c r="J14" s="473" t="s">
        <v>805</v>
      </c>
      <c r="K14" s="474" t="s">
        <v>736</v>
      </c>
      <c r="L14" s="474" t="s">
        <v>200</v>
      </c>
      <c r="M14" s="475">
        <v>9</v>
      </c>
      <c r="N14" s="476">
        <v>49.5</v>
      </c>
      <c r="O14" s="472">
        <v>21754</v>
      </c>
      <c r="P14" s="473" t="s">
        <v>1062</v>
      </c>
      <c r="Q14" s="474" t="s">
        <v>589</v>
      </c>
      <c r="R14" s="474" t="s">
        <v>1203</v>
      </c>
      <c r="S14" s="475">
        <v>78</v>
      </c>
      <c r="T14" s="476">
        <v>30.844000000000001</v>
      </c>
      <c r="U14" s="472" t="s">
        <v>2043</v>
      </c>
      <c r="V14" s="473" t="s">
        <v>119</v>
      </c>
      <c r="W14" s="474" t="s">
        <v>119</v>
      </c>
      <c r="X14" s="474" t="s">
        <v>119</v>
      </c>
      <c r="Y14" s="475">
        <v>9999</v>
      </c>
      <c r="Z14" s="476">
        <v>0</v>
      </c>
      <c r="AA14" s="472" t="s">
        <v>2043</v>
      </c>
      <c r="AB14" s="473" t="s">
        <v>119</v>
      </c>
      <c r="AC14" s="474" t="s">
        <v>119</v>
      </c>
      <c r="AD14" s="474" t="s">
        <v>119</v>
      </c>
      <c r="AE14" s="475">
        <v>9999</v>
      </c>
      <c r="AF14" s="476">
        <v>0</v>
      </c>
      <c r="AG14" s="477"/>
      <c r="AH14" s="483">
        <f ca="1">IF(TYPE(VLOOKUP(H14,Nasazení!$A$3:$E$130,5,0))&lt;4,VLOOKUP(H14,Nasazení!$A$3:$E$130,5,0),0)</f>
        <v>15</v>
      </c>
      <c r="AI14" s="478">
        <f ca="1">IF(N($AH14)&gt;0,VLOOKUP($AH14,Body!$A$4:$F$259,5,0),"")</f>
        <v>88.988757812499998</v>
      </c>
      <c r="AJ14" s="479">
        <f ca="1">IF(N($AH14)&gt;0,VLOOKUP($AH14,Body!$A$4:$F$259,6,0),"")</f>
        <v>0</v>
      </c>
      <c r="AK14" s="478">
        <f ca="1">IF(N($AH14)&gt;0,VLOOKUP($AH14,Body!$A$4:$F$259,2,0),"")</f>
        <v>2.125</v>
      </c>
      <c r="AL14" s="480" t="str">
        <f t="shared" ca="1" si="8"/>
        <v>4 PC Kolová - Kauca Jindřich</v>
      </c>
      <c r="AM14" s="481">
        <f t="shared" ca="1" si="9"/>
        <v>80.343999999999994</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2</v>
      </c>
      <c r="B15" s="433">
        <f t="shared" ca="1" si="1"/>
        <v>1</v>
      </c>
      <c r="C15" s="433">
        <f t="shared" ca="1" si="2"/>
        <v>80.25</v>
      </c>
      <c r="D15" s="433">
        <f t="shared" ca="1" si="3"/>
        <v>10072</v>
      </c>
      <c r="E15" s="433">
        <f t="shared" si="4"/>
        <v>21</v>
      </c>
      <c r="F15" s="434" t="str">
        <f t="shared" ca="1" si="5"/>
        <v>91080250989927999978530768</v>
      </c>
      <c r="G15" s="470" t="b">
        <f t="shared" ca="1" si="6"/>
        <v>0</v>
      </c>
      <c r="H15" s="471">
        <f t="shared" si="7"/>
        <v>5</v>
      </c>
      <c r="I15" s="472">
        <v>29049</v>
      </c>
      <c r="J15" s="473" t="s">
        <v>892</v>
      </c>
      <c r="K15" s="474" t="s">
        <v>589</v>
      </c>
      <c r="L15" s="474" t="s">
        <v>495</v>
      </c>
      <c r="M15" s="475">
        <v>52</v>
      </c>
      <c r="N15" s="476">
        <v>35.5</v>
      </c>
      <c r="O15" s="472">
        <v>14075</v>
      </c>
      <c r="P15" s="473" t="s">
        <v>1443</v>
      </c>
      <c r="Q15" s="474" t="s">
        <v>629</v>
      </c>
      <c r="R15" s="474" t="s">
        <v>470</v>
      </c>
      <c r="S15" s="475">
        <v>21</v>
      </c>
      <c r="T15" s="476">
        <v>44.75</v>
      </c>
      <c r="U15" s="472" t="s">
        <v>2043</v>
      </c>
      <c r="V15" s="473" t="s">
        <v>119</v>
      </c>
      <c r="W15" s="474" t="s">
        <v>119</v>
      </c>
      <c r="X15" s="474" t="s">
        <v>119</v>
      </c>
      <c r="Y15" s="475">
        <v>9999</v>
      </c>
      <c r="Z15" s="476">
        <v>0</v>
      </c>
      <c r="AA15" s="472" t="s">
        <v>2043</v>
      </c>
      <c r="AB15" s="473" t="s">
        <v>119</v>
      </c>
      <c r="AC15" s="474" t="s">
        <v>119</v>
      </c>
      <c r="AD15" s="474" t="s">
        <v>119</v>
      </c>
      <c r="AE15" s="475">
        <v>9999</v>
      </c>
      <c r="AF15" s="476">
        <v>0</v>
      </c>
      <c r="AG15" s="477"/>
      <c r="AH15" s="483">
        <f ca="1">IF(TYPE(VLOOKUP(H15,Nasazení!$A$3:$E$130,5,0))&lt;4,VLOOKUP(H15,Nasazení!$A$3:$E$130,5,0),0)</f>
        <v>32</v>
      </c>
      <c r="AI15" s="478">
        <f ca="1">IF(N($AH15)&gt;0,VLOOKUP($AH15,Body!$A$4:$F$259,5,0),"")</f>
        <v>41.877062500000001</v>
      </c>
      <c r="AJ15" s="479">
        <f ca="1">IF(N($AH15)&gt;0,VLOOKUP($AH15,Body!$A$4:$F$259,6,0),"")</f>
        <v>0</v>
      </c>
      <c r="AK15" s="478">
        <f ca="1">IF(N($AH15)&gt;0,VLOOKUP($AH15,Body!$A$4:$F$259,2,0),"")</f>
        <v>1</v>
      </c>
      <c r="AL15" s="480" t="str">
        <f t="shared" ca="1" si="8"/>
        <v>5 CdP Loděnice - Marhoul Jan</v>
      </c>
      <c r="AM15" s="481">
        <f t="shared" ca="1" si="9"/>
        <v>80.25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2</v>
      </c>
      <c r="B16" s="403">
        <f t="shared" ca="1" si="1"/>
        <v>1</v>
      </c>
      <c r="C16" s="403">
        <f t="shared" ca="1" si="2"/>
        <v>76.751000000000005</v>
      </c>
      <c r="D16" s="403">
        <f t="shared" ca="1" si="3"/>
        <v>10140</v>
      </c>
      <c r="E16" s="433">
        <f t="shared" si="4"/>
        <v>15</v>
      </c>
      <c r="F16" s="434" t="str">
        <f t="shared" ca="1" si="5"/>
        <v>91076751989859999984025914</v>
      </c>
      <c r="G16" s="470" t="b">
        <f t="shared" ca="1" si="6"/>
        <v>0</v>
      </c>
      <c r="H16" s="471">
        <f t="shared" si="7"/>
        <v>6</v>
      </c>
      <c r="I16" s="472">
        <v>14074</v>
      </c>
      <c r="J16" s="473" t="s">
        <v>1443</v>
      </c>
      <c r="K16" s="474" t="s">
        <v>610</v>
      </c>
      <c r="L16" s="474" t="s">
        <v>470</v>
      </c>
      <c r="M16" s="475">
        <v>126</v>
      </c>
      <c r="N16" s="476">
        <v>28.876000000000001</v>
      </c>
      <c r="O16" s="472">
        <v>98446</v>
      </c>
      <c r="P16" s="473" t="s">
        <v>1576</v>
      </c>
      <c r="Q16" s="474" t="s">
        <v>572</v>
      </c>
      <c r="R16" s="474" t="s">
        <v>470</v>
      </c>
      <c r="S16" s="475">
        <v>15</v>
      </c>
      <c r="T16" s="476">
        <v>47.875</v>
      </c>
      <c r="U16" s="472" t="s">
        <v>2043</v>
      </c>
      <c r="V16" s="473" t="s">
        <v>119</v>
      </c>
      <c r="W16" s="474" t="s">
        <v>119</v>
      </c>
      <c r="X16" s="474" t="s">
        <v>119</v>
      </c>
      <c r="Y16" s="475">
        <v>9999</v>
      </c>
      <c r="Z16" s="476">
        <v>0</v>
      </c>
      <c r="AA16" s="472" t="s">
        <v>2043</v>
      </c>
      <c r="AB16" s="473" t="s">
        <v>119</v>
      </c>
      <c r="AC16" s="474" t="s">
        <v>119</v>
      </c>
      <c r="AD16" s="474" t="s">
        <v>119</v>
      </c>
      <c r="AE16" s="475">
        <v>9999</v>
      </c>
      <c r="AF16" s="476">
        <v>0</v>
      </c>
      <c r="AG16" s="477"/>
      <c r="AH16" s="483">
        <f ca="1">IF(TYPE(VLOOKUP(H16,Nasazení!$A$3:$E$130,5,0))&lt;4,VLOOKUP(H16,Nasazení!$A$3:$E$130,5,0),0)</f>
        <v>4</v>
      </c>
      <c r="AI16" s="478">
        <f ca="1">IF(N($AH16)&gt;0,VLOOKUP($AH16,Body!$A$4:$F$259,5,0),"")</f>
        <v>167.50825</v>
      </c>
      <c r="AJ16" s="479">
        <f ca="1">IF(N($AH16)&gt;0,VLOOKUP($AH16,Body!$A$4:$F$259,6,0),"")</f>
        <v>0</v>
      </c>
      <c r="AK16" s="478">
        <f ca="1">IF(N($AH16)&gt;0,VLOOKUP($AH16,Body!$A$4:$F$259,2,0),"")</f>
        <v>4</v>
      </c>
      <c r="AL16" s="480" t="str">
        <f t="shared" ca="1" si="8"/>
        <v>6 PC Sokol Lipník - Froňková Blanka</v>
      </c>
      <c r="AM16" s="481">
        <f t="shared" ca="1" si="9"/>
        <v>76.751000000000005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2</v>
      </c>
      <c r="B17" s="433">
        <f t="shared" ca="1" si="1"/>
        <v>1</v>
      </c>
      <c r="C17" s="433">
        <f t="shared" ca="1" si="2"/>
        <v>67.875</v>
      </c>
      <c r="D17" s="433">
        <f t="shared" ca="1" si="3"/>
        <v>10124</v>
      </c>
      <c r="E17" s="433">
        <f t="shared" si="4"/>
        <v>56</v>
      </c>
      <c r="F17" s="434" t="str">
        <f t="shared" ca="1" si="5"/>
        <v>91067875989875999943746027</v>
      </c>
      <c r="G17" s="470" t="b">
        <f t="shared" ca="1" si="6"/>
        <v>0</v>
      </c>
      <c r="H17" s="471">
        <f t="shared" si="7"/>
        <v>7</v>
      </c>
      <c r="I17" s="472">
        <v>12070</v>
      </c>
      <c r="J17" s="473" t="s">
        <v>1240</v>
      </c>
      <c r="K17" s="474" t="s">
        <v>572</v>
      </c>
      <c r="L17" s="474" t="s">
        <v>495</v>
      </c>
      <c r="M17" s="475">
        <v>69</v>
      </c>
      <c r="N17" s="476">
        <v>29.75</v>
      </c>
      <c r="O17" s="472">
        <v>28050</v>
      </c>
      <c r="P17" s="473" t="s">
        <v>568</v>
      </c>
      <c r="Q17" s="474" t="s">
        <v>552</v>
      </c>
      <c r="R17" s="474" t="s">
        <v>200</v>
      </c>
      <c r="S17" s="475">
        <v>56</v>
      </c>
      <c r="T17" s="476">
        <v>38.125</v>
      </c>
      <c r="U17" s="472" t="s">
        <v>2043</v>
      </c>
      <c r="V17" s="473" t="s">
        <v>119</v>
      </c>
      <c r="W17" s="474" t="s">
        <v>119</v>
      </c>
      <c r="X17" s="474" t="s">
        <v>119</v>
      </c>
      <c r="Y17" s="475">
        <v>9999</v>
      </c>
      <c r="Z17" s="476">
        <v>0</v>
      </c>
      <c r="AA17" s="472" t="s">
        <v>2043</v>
      </c>
      <c r="AB17" s="473" t="s">
        <v>119</v>
      </c>
      <c r="AC17" s="474" t="s">
        <v>119</v>
      </c>
      <c r="AD17" s="474" t="s">
        <v>119</v>
      </c>
      <c r="AE17" s="475">
        <v>9999</v>
      </c>
      <c r="AF17" s="476">
        <v>0</v>
      </c>
      <c r="AG17" s="477"/>
      <c r="AH17" s="483">
        <f ca="1">IF(TYPE(VLOOKUP(H17,Nasazení!$A$3:$E$130,5,0))&lt;4,VLOOKUP(H17,Nasazení!$A$3:$E$130,5,0),0)</f>
        <v>12</v>
      </c>
      <c r="AI17" s="478">
        <f ca="1">IF(N($AH17)&gt;0,VLOOKUP($AH17,Body!$A$4:$F$259,5,0),"")</f>
        <v>104.69265625</v>
      </c>
      <c r="AJ17" s="479">
        <f ca="1">IF(N($AH17)&gt;0,VLOOKUP($AH17,Body!$A$4:$F$259,6,0),"")</f>
        <v>0</v>
      </c>
      <c r="AK17" s="478">
        <f ca="1">IF(N($AH17)&gt;0,VLOOKUP($AH17,Body!$A$4:$F$259,2,0),"")</f>
        <v>2.5</v>
      </c>
      <c r="AL17" s="480" t="str">
        <f t="shared" ca="1" si="8"/>
        <v>7 CdP Loděnice - Mrázek Petr</v>
      </c>
      <c r="AM17" s="481">
        <f t="shared" ca="1" si="9"/>
        <v>67.875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2</v>
      </c>
      <c r="B18" s="433">
        <f t="shared" ca="1" si="1"/>
        <v>1</v>
      </c>
      <c r="C18" s="433">
        <f t="shared" ca="1" si="2"/>
        <v>65.971000000000004</v>
      </c>
      <c r="D18" s="433">
        <f t="shared" ca="1" si="3"/>
        <v>10061</v>
      </c>
      <c r="E18" s="433">
        <f t="shared" si="4"/>
        <v>27</v>
      </c>
      <c r="F18" s="434" t="str">
        <f t="shared" ca="1" si="5"/>
        <v>91065971989938999972086947</v>
      </c>
      <c r="G18" s="470" t="b">
        <f t="shared" ca="1" si="6"/>
        <v>0</v>
      </c>
      <c r="H18" s="471">
        <f t="shared" si="7"/>
        <v>8</v>
      </c>
      <c r="I18" s="472">
        <v>11039</v>
      </c>
      <c r="J18" s="473" t="s">
        <v>541</v>
      </c>
      <c r="K18" s="474" t="s">
        <v>758</v>
      </c>
      <c r="L18" s="474" t="s">
        <v>1559</v>
      </c>
      <c r="M18" s="475">
        <v>27</v>
      </c>
      <c r="N18" s="476">
        <v>34.189</v>
      </c>
      <c r="O18" s="472">
        <v>14024</v>
      </c>
      <c r="P18" s="473" t="s">
        <v>1594</v>
      </c>
      <c r="Q18" s="474" t="s">
        <v>663</v>
      </c>
      <c r="R18" s="474" t="s">
        <v>1559</v>
      </c>
      <c r="S18" s="475">
        <v>35</v>
      </c>
      <c r="T18" s="476">
        <v>31.782</v>
      </c>
      <c r="U18" s="472" t="s">
        <v>2043</v>
      </c>
      <c r="V18" s="473" t="s">
        <v>119</v>
      </c>
      <c r="W18" s="474" t="s">
        <v>119</v>
      </c>
      <c r="X18" s="474" t="s">
        <v>119</v>
      </c>
      <c r="Y18" s="475">
        <v>9999</v>
      </c>
      <c r="Z18" s="476">
        <v>0</v>
      </c>
      <c r="AA18" s="472" t="s">
        <v>2043</v>
      </c>
      <c r="AB18" s="473" t="s">
        <v>119</v>
      </c>
      <c r="AC18" s="474" t="s">
        <v>119</v>
      </c>
      <c r="AD18" s="474" t="s">
        <v>119</v>
      </c>
      <c r="AE18" s="475">
        <v>9999</v>
      </c>
      <c r="AF18" s="476">
        <v>0</v>
      </c>
      <c r="AG18" s="477"/>
      <c r="AH18" s="483">
        <f ca="1">IF(TYPE(VLOOKUP(H18,Nasazení!$A$3:$E$130,5,0))&lt;4,VLOOKUP(H18,Nasazení!$A$3:$E$130,5,0),0)</f>
        <v>32</v>
      </c>
      <c r="AI18" s="478">
        <f ca="1">IF(N($AH18)&gt;0,VLOOKUP($AH18,Body!$A$4:$F$259,5,0),"")</f>
        <v>41.877062500000001</v>
      </c>
      <c r="AJ18" s="479">
        <f ca="1">IF(N($AH18)&gt;0,VLOOKUP($AH18,Body!$A$4:$F$259,6,0),"")</f>
        <v>0</v>
      </c>
      <c r="AK18" s="478">
        <f ca="1">IF(N($AH18)&gt;0,VLOOKUP($AH18,Body!$A$4:$F$259,2,0),"")</f>
        <v>1</v>
      </c>
      <c r="AL18" s="480" t="str">
        <f t="shared" ca="1" si="8"/>
        <v>8 PLUK Jablonec - Lukáš Vojtěch</v>
      </c>
      <c r="AM18" s="481">
        <f t="shared" ca="1" si="9"/>
        <v>65.971000000000004</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2</v>
      </c>
      <c r="B19" s="433">
        <f t="shared" ca="1" si="1"/>
        <v>1</v>
      </c>
      <c r="C19" s="433">
        <f t="shared" ca="1" si="2"/>
        <v>65.875</v>
      </c>
      <c r="D19" s="433">
        <f t="shared" ca="1" si="3"/>
        <v>10148</v>
      </c>
      <c r="E19" s="433">
        <f t="shared" si="4"/>
        <v>68</v>
      </c>
      <c r="F19" s="434" t="str">
        <f t="shared" ca="1" si="5"/>
        <v>91065875989851999931816484</v>
      </c>
      <c r="G19" s="470" t="b">
        <f t="shared" ca="1" si="6"/>
        <v>0</v>
      </c>
      <c r="H19" s="471">
        <f t="shared" si="7"/>
        <v>9</v>
      </c>
      <c r="I19" s="472">
        <v>15047</v>
      </c>
      <c r="J19" s="473" t="s">
        <v>1575</v>
      </c>
      <c r="K19" s="474" t="s">
        <v>551</v>
      </c>
      <c r="L19" s="474" t="s">
        <v>472</v>
      </c>
      <c r="M19" s="475">
        <v>81</v>
      </c>
      <c r="N19" s="476">
        <v>32.125</v>
      </c>
      <c r="O19" s="472">
        <v>15023</v>
      </c>
      <c r="P19" s="473" t="s">
        <v>990</v>
      </c>
      <c r="Q19" s="474" t="s">
        <v>950</v>
      </c>
      <c r="R19" s="474" t="s">
        <v>472</v>
      </c>
      <c r="S19" s="475">
        <v>68</v>
      </c>
      <c r="T19" s="476">
        <v>33.75</v>
      </c>
      <c r="U19" s="472" t="s">
        <v>2043</v>
      </c>
      <c r="V19" s="473" t="s">
        <v>119</v>
      </c>
      <c r="W19" s="474" t="s">
        <v>119</v>
      </c>
      <c r="X19" s="474" t="s">
        <v>119</v>
      </c>
      <c r="Y19" s="475">
        <v>9999</v>
      </c>
      <c r="Z19" s="476">
        <v>0</v>
      </c>
      <c r="AA19" s="472" t="s">
        <v>2043</v>
      </c>
      <c r="AB19" s="473" t="s">
        <v>119</v>
      </c>
      <c r="AC19" s="474" t="s">
        <v>119</v>
      </c>
      <c r="AD19" s="474" t="s">
        <v>119</v>
      </c>
      <c r="AE19" s="475">
        <v>9999</v>
      </c>
      <c r="AF19" s="476">
        <v>0</v>
      </c>
      <c r="AG19" s="477"/>
      <c r="AH19" s="483">
        <f ca="1">IF(TYPE(VLOOKUP(H19,Nasazení!$A$3:$E$130,5,0))&lt;4,VLOOKUP(H19,Nasazení!$A$3:$E$130,5,0),0)</f>
        <v>63</v>
      </c>
      <c r="AI19" s="478">
        <f ca="1">IF(N($AH19)&gt;0,VLOOKUP($AH19,Body!$A$4:$F$259,5,0),"")</f>
        <v>1</v>
      </c>
      <c r="AJ19" s="479">
        <f ca="1">IF(N($AH19)&gt;0,VLOOKUP($AH19,Body!$A$4:$F$259,6,0),"")</f>
        <v>0</v>
      </c>
      <c r="AK19" s="478">
        <f ca="1">IF(N($AH19)&gt;0,VLOOKUP($AH19,Body!$A$4:$F$259,2,0),"")</f>
        <v>0</v>
      </c>
      <c r="AL19" s="480" t="str">
        <f t="shared" ca="1" si="8"/>
        <v>9 SK Sahara Vědomice - Mikyška Milan</v>
      </c>
      <c r="AM19" s="481">
        <f t="shared" ca="1" si="9"/>
        <v>65.875</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2</v>
      </c>
      <c r="B20" s="433">
        <f t="shared" ca="1" si="1"/>
        <v>1</v>
      </c>
      <c r="C20" s="433">
        <f t="shared" ca="1" si="2"/>
        <v>62.375999999999998</v>
      </c>
      <c r="D20" s="433">
        <f t="shared" ca="1" si="3"/>
        <v>10079</v>
      </c>
      <c r="E20" s="433">
        <f t="shared" si="4"/>
        <v>39</v>
      </c>
      <c r="F20" s="434" t="str">
        <f t="shared" ca="1" si="5"/>
        <v>91062376989920999960887037</v>
      </c>
      <c r="G20" s="470" t="b">
        <f t="shared" ca="1" si="6"/>
        <v>0</v>
      </c>
      <c r="H20" s="471">
        <f t="shared" si="7"/>
        <v>10</v>
      </c>
      <c r="I20" s="472">
        <v>12038</v>
      </c>
      <c r="J20" s="473" t="s">
        <v>843</v>
      </c>
      <c r="K20" s="474" t="s">
        <v>844</v>
      </c>
      <c r="L20" s="474" t="s">
        <v>576</v>
      </c>
      <c r="M20" s="475">
        <v>41</v>
      </c>
      <c r="N20" s="476">
        <v>31.187999999999999</v>
      </c>
      <c r="O20" s="472">
        <v>12037</v>
      </c>
      <c r="P20" s="473" t="s">
        <v>845</v>
      </c>
      <c r="Q20" s="474" t="s">
        <v>846</v>
      </c>
      <c r="R20" s="474" t="s">
        <v>576</v>
      </c>
      <c r="S20" s="475">
        <v>39</v>
      </c>
      <c r="T20" s="476">
        <v>31.187999999999999</v>
      </c>
      <c r="U20" s="472" t="s">
        <v>2043</v>
      </c>
      <c r="V20" s="473" t="s">
        <v>119</v>
      </c>
      <c r="W20" s="474" t="s">
        <v>119</v>
      </c>
      <c r="X20" s="474" t="s">
        <v>119</v>
      </c>
      <c r="Y20" s="475">
        <v>9999</v>
      </c>
      <c r="Z20" s="476">
        <v>0</v>
      </c>
      <c r="AA20" s="472" t="s">
        <v>2043</v>
      </c>
      <c r="AB20" s="473" t="s">
        <v>119</v>
      </c>
      <c r="AC20" s="474" t="s">
        <v>119</v>
      </c>
      <c r="AD20" s="474" t="s">
        <v>119</v>
      </c>
      <c r="AE20" s="475">
        <v>9999</v>
      </c>
      <c r="AF20" s="476">
        <v>0</v>
      </c>
      <c r="AG20" s="477"/>
      <c r="AH20" s="483">
        <f ca="1">IF(TYPE(VLOOKUP(H20,Nasazení!$A$3:$E$130,5,0))&lt;4,VLOOKUP(H20,Nasazení!$A$3:$E$130,5,0),0)</f>
        <v>32</v>
      </c>
      <c r="AI20" s="478">
        <f ca="1">IF(N($AH20)&gt;0,VLOOKUP($AH20,Body!$A$4:$F$259,5,0),"")</f>
        <v>41.877062500000001</v>
      </c>
      <c r="AJ20" s="479">
        <f ca="1">IF(N($AH20)&gt;0,VLOOKUP($AH20,Body!$A$4:$F$259,6,0),"")</f>
        <v>0</v>
      </c>
      <c r="AK20" s="478">
        <f ca="1">IF(N($AH20)&gt;0,VLOOKUP($AH20,Body!$A$4:$F$259,2,0),"")</f>
        <v>1</v>
      </c>
      <c r="AL20" s="480" t="str">
        <f t="shared" ca="1" si="8"/>
        <v>10 SKP Kulová osma - Krejčín Leoš</v>
      </c>
      <c r="AM20" s="481">
        <f t="shared" ca="1" si="9"/>
        <v>62.375999999999998</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2</v>
      </c>
      <c r="B21" s="433">
        <f t="shared" ca="1" si="1"/>
        <v>1</v>
      </c>
      <c r="C21" s="433">
        <f t="shared" ca="1" si="2"/>
        <v>62.251000000000005</v>
      </c>
      <c r="D21" s="433">
        <f t="shared" ca="1" si="3"/>
        <v>10169</v>
      </c>
      <c r="E21" s="433">
        <f t="shared" si="4"/>
        <v>80</v>
      </c>
      <c r="F21" s="434" t="str">
        <f t="shared" ca="1" si="5"/>
        <v>91062251989830999919870108</v>
      </c>
      <c r="G21" s="470" t="b">
        <f t="shared" ca="1" si="6"/>
        <v>0</v>
      </c>
      <c r="H21" s="471">
        <f t="shared" si="7"/>
        <v>11</v>
      </c>
      <c r="I21" s="472">
        <v>14052</v>
      </c>
      <c r="J21" s="473" t="s">
        <v>1701</v>
      </c>
      <c r="K21" s="474" t="s">
        <v>638</v>
      </c>
      <c r="L21" s="474" t="s">
        <v>1466</v>
      </c>
      <c r="M21" s="475">
        <v>90</v>
      </c>
      <c r="N21" s="476">
        <v>29.626000000000001</v>
      </c>
      <c r="O21" s="472">
        <v>27080</v>
      </c>
      <c r="P21" s="473" t="s">
        <v>1129</v>
      </c>
      <c r="Q21" s="474" t="s">
        <v>534</v>
      </c>
      <c r="R21" s="474" t="s">
        <v>1210</v>
      </c>
      <c r="S21" s="475">
        <v>80</v>
      </c>
      <c r="T21" s="476">
        <v>32.625</v>
      </c>
      <c r="U21" s="472" t="s">
        <v>2043</v>
      </c>
      <c r="V21" s="473" t="s">
        <v>119</v>
      </c>
      <c r="W21" s="474" t="s">
        <v>119</v>
      </c>
      <c r="X21" s="474" t="s">
        <v>119</v>
      </c>
      <c r="Y21" s="475">
        <v>9999</v>
      </c>
      <c r="Z21" s="476">
        <v>0</v>
      </c>
      <c r="AA21" s="472" t="s">
        <v>2043</v>
      </c>
      <c r="AB21" s="473" t="s">
        <v>119</v>
      </c>
      <c r="AC21" s="474" t="s">
        <v>119</v>
      </c>
      <c r="AD21" s="474" t="s">
        <v>119</v>
      </c>
      <c r="AE21" s="475">
        <v>9999</v>
      </c>
      <c r="AF21" s="476">
        <v>0</v>
      </c>
      <c r="AG21" s="477"/>
      <c r="AH21" s="483">
        <f ca="1">IF(TYPE(VLOOKUP(H21,Nasazení!$A$3:$E$130,5,0))&lt;4,VLOOKUP(H21,Nasazení!$A$3:$E$130,5,0),0)</f>
        <v>63</v>
      </c>
      <c r="AI21" s="478">
        <f ca="1">IF(N($AH21)&gt;0,VLOOKUP($AH21,Body!$A$4:$F$259,5,0),"")</f>
        <v>1</v>
      </c>
      <c r="AJ21" s="479">
        <f ca="1">IF(N($AH21)&gt;0,VLOOKUP($AH21,Body!$A$4:$F$259,6,0),"")</f>
        <v>0</v>
      </c>
      <c r="AK21" s="478">
        <f ca="1">IF(N($AH21)&gt;0,VLOOKUP($AH21,Body!$A$4:$F$259,2,0),"")</f>
        <v>0</v>
      </c>
      <c r="AL21" s="480" t="str">
        <f t="shared" ca="1" si="8"/>
        <v>11 Sokol Kostomlaty - Škorničková Jaroslava</v>
      </c>
      <c r="AM21" s="481">
        <f t="shared" ca="1" si="9"/>
        <v>62.251000000000005</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2</v>
      </c>
      <c r="B22" s="433">
        <f t="shared" ca="1" si="1"/>
        <v>1</v>
      </c>
      <c r="C22" s="433">
        <f t="shared" ca="1" si="2"/>
        <v>58.063000000000002</v>
      </c>
      <c r="D22" s="433">
        <f t="shared" ca="1" si="3"/>
        <v>10213</v>
      </c>
      <c r="E22" s="433">
        <f t="shared" si="4"/>
        <v>85</v>
      </c>
      <c r="F22" s="434" t="str">
        <f t="shared" ca="1" si="5"/>
        <v>91058063989786999914344589</v>
      </c>
      <c r="G22" s="470" t="b">
        <f t="shared" ca="1" si="6"/>
        <v>0</v>
      </c>
      <c r="H22" s="471">
        <f t="shared" si="7"/>
        <v>12</v>
      </c>
      <c r="I22" s="472">
        <v>15011</v>
      </c>
      <c r="J22" s="473" t="s">
        <v>626</v>
      </c>
      <c r="K22" s="474" t="s">
        <v>690</v>
      </c>
      <c r="L22" s="474" t="s">
        <v>576</v>
      </c>
      <c r="M22" s="475">
        <v>85</v>
      </c>
      <c r="N22" s="476">
        <v>29.875</v>
      </c>
      <c r="O22" s="472">
        <v>15010</v>
      </c>
      <c r="P22" s="473" t="s">
        <v>628</v>
      </c>
      <c r="Q22" s="474" t="s">
        <v>1416</v>
      </c>
      <c r="R22" s="474" t="s">
        <v>576</v>
      </c>
      <c r="S22" s="475">
        <v>129</v>
      </c>
      <c r="T22" s="476">
        <v>28.187999999999999</v>
      </c>
      <c r="U22" s="472" t="s">
        <v>2043</v>
      </c>
      <c r="V22" s="473" t="s">
        <v>119</v>
      </c>
      <c r="W22" s="474" t="s">
        <v>119</v>
      </c>
      <c r="X22" s="474" t="s">
        <v>119</v>
      </c>
      <c r="Y22" s="475">
        <v>9999</v>
      </c>
      <c r="Z22" s="476">
        <v>0</v>
      </c>
      <c r="AA22" s="472" t="s">
        <v>2043</v>
      </c>
      <c r="AB22" s="473" t="s">
        <v>119</v>
      </c>
      <c r="AC22" s="474" t="s">
        <v>119</v>
      </c>
      <c r="AD22" s="474" t="s">
        <v>119</v>
      </c>
      <c r="AE22" s="475">
        <v>9999</v>
      </c>
      <c r="AF22" s="476">
        <v>0</v>
      </c>
      <c r="AG22" s="477"/>
      <c r="AH22" s="483">
        <f ca="1">IF(TYPE(VLOOKUP(H22,Nasazení!$A$3:$E$130,5,0))&lt;4,VLOOKUP(H22,Nasazení!$A$3:$E$130,5,0),0)</f>
        <v>32</v>
      </c>
      <c r="AI22" s="478">
        <f ca="1">IF(N($AH22)&gt;0,VLOOKUP($AH22,Body!$A$4:$F$259,5,0),"")</f>
        <v>41.877062500000001</v>
      </c>
      <c r="AJ22" s="479">
        <f ca="1">IF(N($AH22)&gt;0,VLOOKUP($AH22,Body!$A$4:$F$259,6,0),"")</f>
        <v>0</v>
      </c>
      <c r="AK22" s="478">
        <f ca="1">IF(N($AH22)&gt;0,VLOOKUP($AH22,Body!$A$4:$F$259,2,0),"")</f>
        <v>1</v>
      </c>
      <c r="AL22" s="480" t="str">
        <f t="shared" ca="1" si="8"/>
        <v>12 SKP Kulová osma - Chmelař Ivo</v>
      </c>
      <c r="AM22" s="481">
        <f t="shared" ca="1" si="9"/>
        <v>58.063000000000002</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2</v>
      </c>
      <c r="B23" s="433">
        <f t="shared" ca="1" si="1"/>
        <v>1</v>
      </c>
      <c r="C23" s="433">
        <f t="shared" ca="1" si="2"/>
        <v>57.938000000000002</v>
      </c>
      <c r="D23" s="433">
        <f t="shared" ca="1" si="3"/>
        <v>10181</v>
      </c>
      <c r="E23" s="433">
        <f t="shared" si="4"/>
        <v>71</v>
      </c>
      <c r="F23" s="434" t="str">
        <f t="shared" ca="1" si="5"/>
        <v>91057938989818999928717612</v>
      </c>
      <c r="G23" s="470" t="b">
        <f t="shared" ca="1" si="6"/>
        <v>0</v>
      </c>
      <c r="H23" s="471">
        <f t="shared" si="7"/>
        <v>13</v>
      </c>
      <c r="I23" s="472">
        <v>21768</v>
      </c>
      <c r="J23" s="473" t="s">
        <v>966</v>
      </c>
      <c r="K23" s="474" t="s">
        <v>572</v>
      </c>
      <c r="L23" s="474" t="s">
        <v>200</v>
      </c>
      <c r="M23" s="475">
        <v>111</v>
      </c>
      <c r="N23" s="476">
        <v>23.187999999999999</v>
      </c>
      <c r="O23" s="472">
        <v>99590</v>
      </c>
      <c r="P23" s="473" t="s">
        <v>791</v>
      </c>
      <c r="Q23" s="474" t="s">
        <v>690</v>
      </c>
      <c r="R23" s="474" t="s">
        <v>200</v>
      </c>
      <c r="S23" s="475">
        <v>71</v>
      </c>
      <c r="T23" s="476">
        <v>34.75</v>
      </c>
      <c r="U23" s="472" t="s">
        <v>2043</v>
      </c>
      <c r="V23" s="473" t="s">
        <v>119</v>
      </c>
      <c r="W23" s="474" t="s">
        <v>119</v>
      </c>
      <c r="X23" s="474" t="s">
        <v>119</v>
      </c>
      <c r="Y23" s="475">
        <v>9999</v>
      </c>
      <c r="Z23" s="476">
        <v>0</v>
      </c>
      <c r="AA23" s="472" t="s">
        <v>2043</v>
      </c>
      <c r="AB23" s="473" t="s">
        <v>119</v>
      </c>
      <c r="AC23" s="474" t="s">
        <v>119</v>
      </c>
      <c r="AD23" s="474" t="s">
        <v>119</v>
      </c>
      <c r="AE23" s="475">
        <v>9999</v>
      </c>
      <c r="AF23" s="476">
        <v>0</v>
      </c>
      <c r="AG23" s="477"/>
      <c r="AH23" s="483">
        <f ca="1">IF(TYPE(VLOOKUP(H23,Nasazení!$A$3:$E$130,5,0))&lt;4,VLOOKUP(H23,Nasazení!$A$3:$E$130,5,0),0)</f>
        <v>3</v>
      </c>
      <c r="AI23" s="478">
        <f ca="1">IF(N($AH23)&gt;0,VLOOKUP($AH23,Body!$A$4:$F$259,5,0),"")</f>
        <v>188.44678125000002</v>
      </c>
      <c r="AJ23" s="479">
        <f ca="1">IF(N($AH23)&gt;0,VLOOKUP($AH23,Body!$A$4:$F$259,6,0),"")</f>
        <v>0</v>
      </c>
      <c r="AK23" s="478">
        <f ca="1">IF(N($AH23)&gt;0,VLOOKUP($AH23,Body!$A$4:$F$259,2,0),"")</f>
        <v>4.5</v>
      </c>
      <c r="AL23" s="480" t="str">
        <f t="shared" ca="1" si="8"/>
        <v>13 PC Kolová - Plucar Petr</v>
      </c>
      <c r="AM23" s="481">
        <f t="shared" ca="1" si="9"/>
        <v>57.938000000000002</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2</v>
      </c>
      <c r="B24" s="433">
        <f t="shared" ca="1" si="1"/>
        <v>1</v>
      </c>
      <c r="C24" s="433">
        <f t="shared" ca="1" si="2"/>
        <v>57.189</v>
      </c>
      <c r="D24" s="433">
        <f t="shared" ca="1" si="3"/>
        <v>10213</v>
      </c>
      <c r="E24" s="433">
        <f t="shared" si="4"/>
        <v>83</v>
      </c>
      <c r="F24" s="434" t="str">
        <f t="shared" ca="1" si="5"/>
        <v>91057189989786999916831535</v>
      </c>
      <c r="G24" s="470" t="b">
        <f t="shared" ca="1" si="6"/>
        <v>0</v>
      </c>
      <c r="H24" s="471">
        <f t="shared" si="7"/>
        <v>14</v>
      </c>
      <c r="I24" s="472">
        <v>14079</v>
      </c>
      <c r="J24" s="473" t="s">
        <v>1674</v>
      </c>
      <c r="K24" s="474" t="s">
        <v>589</v>
      </c>
      <c r="L24" s="474" t="s">
        <v>1343</v>
      </c>
      <c r="M24" s="475">
        <v>83</v>
      </c>
      <c r="N24" s="476">
        <v>37.5</v>
      </c>
      <c r="O24" s="472">
        <v>14081</v>
      </c>
      <c r="P24" s="473" t="s">
        <v>1395</v>
      </c>
      <c r="Q24" s="474" t="s">
        <v>1228</v>
      </c>
      <c r="R24" s="474" t="s">
        <v>1343</v>
      </c>
      <c r="S24" s="475">
        <v>131</v>
      </c>
      <c r="T24" s="476">
        <v>19.689</v>
      </c>
      <c r="U24" s="472" t="s">
        <v>2043</v>
      </c>
      <c r="V24" s="473" t="s">
        <v>119</v>
      </c>
      <c r="W24" s="474" t="s">
        <v>119</v>
      </c>
      <c r="X24" s="474" t="s">
        <v>119</v>
      </c>
      <c r="Y24" s="475">
        <v>9999</v>
      </c>
      <c r="Z24" s="476">
        <v>0</v>
      </c>
      <c r="AA24" s="472" t="s">
        <v>2043</v>
      </c>
      <c r="AB24" s="473" t="s">
        <v>119</v>
      </c>
      <c r="AC24" s="474" t="s">
        <v>119</v>
      </c>
      <c r="AD24" s="474" t="s">
        <v>119</v>
      </c>
      <c r="AE24" s="475">
        <v>9999</v>
      </c>
      <c r="AF24" s="476">
        <v>0</v>
      </c>
      <c r="AG24" s="477"/>
      <c r="AH24" s="483">
        <f ca="1">IF(TYPE(VLOOKUP(H24,Nasazení!$A$3:$E$130,5,0))&lt;4,VLOOKUP(H24,Nasazení!$A$3:$E$130,5,0),0)</f>
        <v>6</v>
      </c>
      <c r="AI24" s="478">
        <f ca="1">IF(N($AH24)&gt;0,VLOOKUP($AH24,Body!$A$4:$F$259,5,0),"")</f>
        <v>146.56971874999999</v>
      </c>
      <c r="AJ24" s="479">
        <f ca="1">IF(N($AH24)&gt;0,VLOOKUP($AH24,Body!$A$4:$F$259,6,0),"")</f>
        <v>0</v>
      </c>
      <c r="AK24" s="478">
        <f ca="1">IF(N($AH24)&gt;0,VLOOKUP($AH24,Body!$A$4:$F$259,2,0),"")</f>
        <v>3.5</v>
      </c>
      <c r="AL24" s="480" t="str">
        <f t="shared" ca="1" si="8"/>
        <v>14 Petank Club Praha - Vorel Jan</v>
      </c>
      <c r="AM24" s="481">
        <f t="shared" ca="1" si="9"/>
        <v>57.189</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2</v>
      </c>
      <c r="B25" s="433">
        <f t="shared" ca="1" si="1"/>
        <v>1</v>
      </c>
      <c r="C25" s="433">
        <f t="shared" ca="1" si="2"/>
        <v>55.126000000000005</v>
      </c>
      <c r="D25" s="433">
        <f t="shared" ca="1" si="3"/>
        <v>10201</v>
      </c>
      <c r="E25" s="433">
        <f t="shared" si="4"/>
        <v>62</v>
      </c>
      <c r="F25" s="434" t="str">
        <f t="shared" ca="1" si="5"/>
        <v>91055126989798999937089221</v>
      </c>
      <c r="G25" s="470" t="b">
        <f t="shared" ca="1" si="6"/>
        <v>0</v>
      </c>
      <c r="H25" s="471">
        <f t="shared" si="7"/>
        <v>15</v>
      </c>
      <c r="I25" s="472">
        <v>15067</v>
      </c>
      <c r="J25" s="473" t="s">
        <v>1677</v>
      </c>
      <c r="K25" s="474" t="s">
        <v>1678</v>
      </c>
      <c r="L25" s="474" t="s">
        <v>1466</v>
      </c>
      <c r="M25" s="475">
        <v>62</v>
      </c>
      <c r="N25" s="476">
        <v>31.25</v>
      </c>
      <c r="O25" s="472">
        <v>16010</v>
      </c>
      <c r="P25" s="473" t="s">
        <v>1710</v>
      </c>
      <c r="Q25" s="474" t="s">
        <v>695</v>
      </c>
      <c r="R25" s="474" t="s">
        <v>1466</v>
      </c>
      <c r="S25" s="475">
        <v>140</v>
      </c>
      <c r="T25" s="476">
        <v>23.876000000000001</v>
      </c>
      <c r="U25" s="472" t="s">
        <v>2043</v>
      </c>
      <c r="V25" s="473" t="s">
        <v>119</v>
      </c>
      <c r="W25" s="474" t="s">
        <v>119</v>
      </c>
      <c r="X25" s="474" t="s">
        <v>119</v>
      </c>
      <c r="Y25" s="475">
        <v>9999</v>
      </c>
      <c r="Z25" s="476">
        <v>0</v>
      </c>
      <c r="AA25" s="472" t="s">
        <v>2043</v>
      </c>
      <c r="AB25" s="473" t="s">
        <v>119</v>
      </c>
      <c r="AC25" s="474" t="s">
        <v>119</v>
      </c>
      <c r="AD25" s="474" t="s">
        <v>119</v>
      </c>
      <c r="AE25" s="475">
        <v>9999</v>
      </c>
      <c r="AF25" s="476">
        <v>0</v>
      </c>
      <c r="AG25" s="477"/>
      <c r="AH25" s="483">
        <f ca="1">IF(TYPE(VLOOKUP(H25,Nasazení!$A$3:$E$130,5,0))&lt;4,VLOOKUP(H25,Nasazení!$A$3:$E$130,5,0),0)</f>
        <v>1</v>
      </c>
      <c r="AI25" s="478">
        <f ca="1">IF(N($AH25)&gt;0,VLOOKUP($AH25,Body!$A$4:$F$259,5,0),"")</f>
        <v>251.26237500000002</v>
      </c>
      <c r="AJ25" s="479">
        <f ca="1">IF(N($AH25)&gt;0,VLOOKUP($AH25,Body!$A$4:$F$259,6,0),"")</f>
        <v>0</v>
      </c>
      <c r="AK25" s="478">
        <f ca="1">IF(N($AH25)&gt;0,VLOOKUP($AH25,Body!$A$4:$F$259,2,0),"")</f>
        <v>6</v>
      </c>
      <c r="AL25" s="480" t="str">
        <f t="shared" ca="1" si="8"/>
        <v>15 Sokol Kostomlaty - Vyoral Hynek</v>
      </c>
      <c r="AM25" s="481">
        <f t="shared" ca="1" si="9"/>
        <v>55.126000000000005</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2</v>
      </c>
      <c r="B26" s="433">
        <f t="shared" ca="1" si="1"/>
        <v>1</v>
      </c>
      <c r="C26" s="433">
        <f t="shared" ca="1" si="2"/>
        <v>54.563000000000002</v>
      </c>
      <c r="D26" s="433">
        <f t="shared" ca="1" si="3"/>
        <v>10401</v>
      </c>
      <c r="E26" s="433">
        <f t="shared" si="4"/>
        <v>26</v>
      </c>
      <c r="F26" s="434" t="str">
        <f t="shared" ca="1" si="5"/>
        <v>91054563989598999973617015</v>
      </c>
      <c r="G26" s="470" t="b">
        <f t="shared" ca="1" si="6"/>
        <v>0</v>
      </c>
      <c r="H26" s="471">
        <f t="shared" si="7"/>
        <v>16</v>
      </c>
      <c r="I26" s="472">
        <v>23054</v>
      </c>
      <c r="J26" s="473" t="s">
        <v>894</v>
      </c>
      <c r="K26" s="474" t="s">
        <v>535</v>
      </c>
      <c r="L26" s="474" t="s">
        <v>501</v>
      </c>
      <c r="M26" s="475">
        <v>26</v>
      </c>
      <c r="N26" s="476">
        <v>44.125</v>
      </c>
      <c r="O26" s="472">
        <v>26010</v>
      </c>
      <c r="P26" s="473" t="s">
        <v>1131</v>
      </c>
      <c r="Q26" s="474" t="s">
        <v>564</v>
      </c>
      <c r="R26" s="474" t="s">
        <v>501</v>
      </c>
      <c r="S26" s="475">
        <v>376</v>
      </c>
      <c r="T26" s="476">
        <v>10.438000000000001</v>
      </c>
      <c r="U26" s="472" t="s">
        <v>2043</v>
      </c>
      <c r="V26" s="473" t="s">
        <v>119</v>
      </c>
      <c r="W26" s="474" t="s">
        <v>119</v>
      </c>
      <c r="X26" s="474" t="s">
        <v>119</v>
      </c>
      <c r="Y26" s="475">
        <v>9999</v>
      </c>
      <c r="Z26" s="476">
        <v>0</v>
      </c>
      <c r="AA26" s="472" t="s">
        <v>2043</v>
      </c>
      <c r="AB26" s="473" t="s">
        <v>119</v>
      </c>
      <c r="AC26" s="474" t="s">
        <v>119</v>
      </c>
      <c r="AD26" s="474" t="s">
        <v>119</v>
      </c>
      <c r="AE26" s="475">
        <v>9999</v>
      </c>
      <c r="AF26" s="476">
        <v>0</v>
      </c>
      <c r="AG26" s="477"/>
      <c r="AH26" s="483">
        <f ca="1">IF(TYPE(VLOOKUP(H26,Nasazení!$A$3:$E$130,5,0))&lt;4,VLOOKUP(H26,Nasazení!$A$3:$E$130,5,0),0)</f>
        <v>32</v>
      </c>
      <c r="AI26" s="478">
        <f ca="1">IF(N($AH26)&gt;0,VLOOKUP($AH26,Body!$A$4:$F$259,5,0),"")</f>
        <v>41.877062500000001</v>
      </c>
      <c r="AJ26" s="479">
        <f ca="1">IF(N($AH26)&gt;0,VLOOKUP($AH26,Body!$A$4:$F$259,6,0),"")</f>
        <v>0</v>
      </c>
      <c r="AK26" s="478">
        <f ca="1">IF(N($AH26)&gt;0,VLOOKUP($AH26,Body!$A$4:$F$259,2,0),"")</f>
        <v>1</v>
      </c>
      <c r="AL26" s="480" t="str">
        <f t="shared" ca="1" si="8"/>
        <v>16 1. KPK Vrchlabí - Mašek Pavel</v>
      </c>
      <c r="AM26" s="481">
        <f t="shared" ca="1" si="9"/>
        <v>54.563000000000002</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2</v>
      </c>
      <c r="B27" s="433">
        <f t="shared" ca="1" si="1"/>
        <v>1</v>
      </c>
      <c r="C27" s="433">
        <f t="shared" ca="1" si="2"/>
        <v>53.578000000000003</v>
      </c>
      <c r="D27" s="433">
        <f t="shared" ca="1" si="3"/>
        <v>10297</v>
      </c>
      <c r="E27" s="433">
        <f t="shared" si="4"/>
        <v>93</v>
      </c>
      <c r="F27" s="434" t="str">
        <f t="shared" ca="1" si="5"/>
        <v>91053578989702999906409852</v>
      </c>
      <c r="G27" s="470" t="b">
        <f t="shared" ca="1" si="6"/>
        <v>0</v>
      </c>
      <c r="H27" s="471">
        <f t="shared" si="7"/>
        <v>17</v>
      </c>
      <c r="I27" s="472">
        <v>11050</v>
      </c>
      <c r="J27" s="473" t="s">
        <v>696</v>
      </c>
      <c r="K27" s="474" t="s">
        <v>610</v>
      </c>
      <c r="L27" s="474" t="s">
        <v>470</v>
      </c>
      <c r="M27" s="475">
        <v>205</v>
      </c>
      <c r="N27" s="476">
        <v>20.577999999999999</v>
      </c>
      <c r="O27" s="472">
        <v>96217</v>
      </c>
      <c r="P27" s="473" t="s">
        <v>696</v>
      </c>
      <c r="Q27" s="474" t="s">
        <v>697</v>
      </c>
      <c r="R27" s="474" t="s">
        <v>470</v>
      </c>
      <c r="S27" s="475">
        <v>93</v>
      </c>
      <c r="T27" s="476">
        <v>33</v>
      </c>
      <c r="U27" s="472" t="s">
        <v>2043</v>
      </c>
      <c r="V27" s="473" t="s">
        <v>119</v>
      </c>
      <c r="W27" s="474" t="s">
        <v>119</v>
      </c>
      <c r="X27" s="474" t="s">
        <v>119</v>
      </c>
      <c r="Y27" s="475">
        <v>9999</v>
      </c>
      <c r="Z27" s="476">
        <v>0</v>
      </c>
      <c r="AA27" s="472" t="s">
        <v>2043</v>
      </c>
      <c r="AB27" s="473" t="s">
        <v>119</v>
      </c>
      <c r="AC27" s="474" t="s">
        <v>119</v>
      </c>
      <c r="AD27" s="474" t="s">
        <v>119</v>
      </c>
      <c r="AE27" s="475">
        <v>9999</v>
      </c>
      <c r="AF27" s="476">
        <v>0</v>
      </c>
      <c r="AG27" s="477"/>
      <c r="AH27" s="483">
        <f ca="1">IF(TYPE(VLOOKUP(H27,Nasazení!$A$3:$E$130,5,0))&lt;4,VLOOKUP(H27,Nasazení!$A$3:$E$130,5,0),0)</f>
        <v>63</v>
      </c>
      <c r="AI27" s="478">
        <f ca="1">IF(N($AH27)&gt;0,VLOOKUP($AH27,Body!$A$4:$F$259,5,0),"")</f>
        <v>1</v>
      </c>
      <c r="AJ27" s="479">
        <f ca="1">IF(N($AH27)&gt;0,VLOOKUP($AH27,Body!$A$4:$F$259,6,0),"")</f>
        <v>0</v>
      </c>
      <c r="AK27" s="478">
        <f ca="1">IF(N($AH27)&gt;0,VLOOKUP($AH27,Body!$A$4:$F$259,2,0),"")</f>
        <v>0</v>
      </c>
      <c r="AL27" s="480" t="str">
        <f t="shared" ca="1" si="8"/>
        <v>17 PC Sokol Lipník - Gorroňo López Blanka</v>
      </c>
      <c r="AM27" s="481">
        <f t="shared" ca="1" si="9"/>
        <v>53.578000000000003</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2</v>
      </c>
      <c r="B28" s="433">
        <f t="shared" ca="1" si="1"/>
        <v>1</v>
      </c>
      <c r="C28" s="433">
        <f t="shared" ca="1" si="2"/>
        <v>53.033000000000001</v>
      </c>
      <c r="D28" s="433">
        <f t="shared" ca="1" si="3"/>
        <v>10295</v>
      </c>
      <c r="E28" s="433">
        <f t="shared" si="4"/>
        <v>103</v>
      </c>
      <c r="F28" s="434" t="str">
        <f t="shared" ca="1" si="5"/>
        <v>91053033989704999896126971</v>
      </c>
      <c r="G28" s="470" t="b">
        <f t="shared" ca="1" si="6"/>
        <v>0</v>
      </c>
      <c r="H28" s="471">
        <f t="shared" si="7"/>
        <v>18</v>
      </c>
      <c r="I28" s="472">
        <v>29009</v>
      </c>
      <c r="J28" s="473" t="s">
        <v>983</v>
      </c>
      <c r="K28" s="474" t="s">
        <v>695</v>
      </c>
      <c r="L28" s="474" t="s">
        <v>1210</v>
      </c>
      <c r="M28" s="475">
        <v>103</v>
      </c>
      <c r="N28" s="476">
        <v>30.219000000000001</v>
      </c>
      <c r="O28" s="472">
        <v>15093</v>
      </c>
      <c r="P28" s="473" t="s">
        <v>929</v>
      </c>
      <c r="Q28" s="474" t="s">
        <v>595</v>
      </c>
      <c r="R28" s="474" t="s">
        <v>1210</v>
      </c>
      <c r="S28" s="475">
        <v>193</v>
      </c>
      <c r="T28" s="476">
        <v>22.814</v>
      </c>
      <c r="U28" s="472" t="s">
        <v>2043</v>
      </c>
      <c r="V28" s="473" t="s">
        <v>119</v>
      </c>
      <c r="W28" s="474" t="s">
        <v>119</v>
      </c>
      <c r="X28" s="474" t="s">
        <v>119</v>
      </c>
      <c r="Y28" s="475">
        <v>9999</v>
      </c>
      <c r="Z28" s="476">
        <v>0</v>
      </c>
      <c r="AA28" s="472" t="s">
        <v>2043</v>
      </c>
      <c r="AB28" s="473" t="s">
        <v>119</v>
      </c>
      <c r="AC28" s="474" t="s">
        <v>119</v>
      </c>
      <c r="AD28" s="474" t="s">
        <v>119</v>
      </c>
      <c r="AE28" s="475">
        <v>9999</v>
      </c>
      <c r="AF28" s="476">
        <v>0</v>
      </c>
      <c r="AG28" s="477"/>
      <c r="AH28" s="483">
        <f ca="1">IF(TYPE(VLOOKUP(H28,Nasazení!$A$3:$E$130,5,0))&lt;4,VLOOKUP(H28,Nasazení!$A$3:$E$130,5,0),0)</f>
        <v>63</v>
      </c>
      <c r="AI28" s="478">
        <f ca="1">IF(N($AH28)&gt;0,VLOOKUP($AH28,Body!$A$4:$F$259,5,0),"")</f>
        <v>1</v>
      </c>
      <c r="AJ28" s="479">
        <f ca="1">IF(N($AH28)&gt;0,VLOOKUP($AH28,Body!$A$4:$F$259,6,0),"")</f>
        <v>0</v>
      </c>
      <c r="AK28" s="478">
        <f ca="1">IF(N($AH28)&gt;0,VLOOKUP($AH28,Body!$A$4:$F$259,2,0),"")</f>
        <v>0</v>
      </c>
      <c r="AL28" s="480" t="str">
        <f t="shared" ca="1" si="8"/>
        <v>18 PCP Lipník - Proroková Dana</v>
      </c>
      <c r="AM28" s="481">
        <f t="shared" ca="1" si="9"/>
        <v>53.033000000000001</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2</v>
      </c>
      <c r="B29" s="433">
        <f t="shared" ca="1" si="1"/>
        <v>1</v>
      </c>
      <c r="C29" s="433">
        <f t="shared" ca="1" si="2"/>
        <v>52.984000000000002</v>
      </c>
      <c r="D29" s="433">
        <f t="shared" ca="1" si="3"/>
        <v>10287</v>
      </c>
      <c r="E29" s="433">
        <f t="shared" si="4"/>
        <v>70</v>
      </c>
      <c r="F29" s="434" t="str">
        <f t="shared" ca="1" si="5"/>
        <v>91052984989712999929536381</v>
      </c>
      <c r="G29" s="470" t="b">
        <f t="shared" ca="1" si="6"/>
        <v>0</v>
      </c>
      <c r="H29" s="471">
        <f t="shared" si="7"/>
        <v>19</v>
      </c>
      <c r="I29" s="472">
        <v>99505</v>
      </c>
      <c r="J29" s="473" t="s">
        <v>619</v>
      </c>
      <c r="K29" s="474" t="s">
        <v>564</v>
      </c>
      <c r="L29" s="474" t="s">
        <v>470</v>
      </c>
      <c r="M29" s="475">
        <v>218</v>
      </c>
      <c r="N29" s="476">
        <v>18.984000000000002</v>
      </c>
      <c r="O29" s="472">
        <v>27088</v>
      </c>
      <c r="P29" s="473" t="s">
        <v>889</v>
      </c>
      <c r="Q29" s="474" t="s">
        <v>890</v>
      </c>
      <c r="R29" s="474" t="s">
        <v>1210</v>
      </c>
      <c r="S29" s="475">
        <v>70</v>
      </c>
      <c r="T29" s="476">
        <v>34</v>
      </c>
      <c r="U29" s="472" t="s">
        <v>2043</v>
      </c>
      <c r="V29" s="473" t="s">
        <v>119</v>
      </c>
      <c r="W29" s="474" t="s">
        <v>119</v>
      </c>
      <c r="X29" s="474" t="s">
        <v>119</v>
      </c>
      <c r="Y29" s="475">
        <v>9999</v>
      </c>
      <c r="Z29" s="476">
        <v>0</v>
      </c>
      <c r="AA29" s="472" t="s">
        <v>2043</v>
      </c>
      <c r="AB29" s="473" t="s">
        <v>119</v>
      </c>
      <c r="AC29" s="474" t="s">
        <v>119</v>
      </c>
      <c r="AD29" s="474" t="s">
        <v>119</v>
      </c>
      <c r="AE29" s="475">
        <v>9999</v>
      </c>
      <c r="AF29" s="476">
        <v>0</v>
      </c>
      <c r="AG29" s="477"/>
      <c r="AH29" s="483">
        <f ca="1">IF(TYPE(VLOOKUP(H29,Nasazení!$A$3:$E$130,5,0))&lt;4,VLOOKUP(H29,Nasazení!$A$3:$E$130,5,0),0)</f>
        <v>63</v>
      </c>
      <c r="AI29" s="478">
        <f ca="1">IF(N($AH29)&gt;0,VLOOKUP($AH29,Body!$A$4:$F$259,5,0),"")</f>
        <v>1</v>
      </c>
      <c r="AJ29" s="479">
        <f ca="1">IF(N($AH29)&gt;0,VLOOKUP($AH29,Body!$A$4:$F$259,6,0),"")</f>
        <v>0</v>
      </c>
      <c r="AK29" s="478">
        <f ca="1">IF(N($AH29)&gt;0,VLOOKUP($AH29,Body!$A$4:$F$259,2,0),"")</f>
        <v>0</v>
      </c>
      <c r="AL29" s="480" t="str">
        <f t="shared" ca="1" si="8"/>
        <v>19 PC Sokol Lipník - Chalupa Jiří</v>
      </c>
      <c r="AM29" s="481">
        <f t="shared" ca="1" si="9"/>
        <v>52.984000000000002</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2</v>
      </c>
      <c r="B30" s="433">
        <f t="shared" ca="1" si="1"/>
        <v>1</v>
      </c>
      <c r="C30" s="433">
        <f t="shared" ca="1" si="2"/>
        <v>52.189</v>
      </c>
      <c r="D30" s="433">
        <f t="shared" ca="1" si="3"/>
        <v>10223</v>
      </c>
      <c r="E30" s="433">
        <f t="shared" si="4"/>
        <v>107</v>
      </c>
      <c r="F30" s="434" t="str">
        <f t="shared" ca="1" si="5"/>
        <v>91052189989776999892363746</v>
      </c>
      <c r="G30" s="470" t="b">
        <f t="shared" ca="1" si="6"/>
        <v>0</v>
      </c>
      <c r="H30" s="471">
        <f t="shared" si="7"/>
        <v>20</v>
      </c>
      <c r="I30" s="472">
        <v>13027</v>
      </c>
      <c r="J30" s="473" t="s">
        <v>1212</v>
      </c>
      <c r="K30" s="474" t="s">
        <v>617</v>
      </c>
      <c r="L30" s="474" t="s">
        <v>1202</v>
      </c>
      <c r="M30" s="475">
        <v>107</v>
      </c>
      <c r="N30" s="476">
        <v>26.157</v>
      </c>
      <c r="O30" s="472">
        <v>13029</v>
      </c>
      <c r="P30" s="473" t="s">
        <v>1226</v>
      </c>
      <c r="Q30" s="474" t="s">
        <v>534</v>
      </c>
      <c r="R30" s="474" t="s">
        <v>1202</v>
      </c>
      <c r="S30" s="475">
        <v>117</v>
      </c>
      <c r="T30" s="476">
        <v>26.032</v>
      </c>
      <c r="U30" s="472" t="s">
        <v>2043</v>
      </c>
      <c r="V30" s="473" t="s">
        <v>119</v>
      </c>
      <c r="W30" s="474" t="s">
        <v>119</v>
      </c>
      <c r="X30" s="474" t="s">
        <v>119</v>
      </c>
      <c r="Y30" s="475">
        <v>9999</v>
      </c>
      <c r="Z30" s="476">
        <v>0</v>
      </c>
      <c r="AA30" s="472" t="s">
        <v>2043</v>
      </c>
      <c r="AB30" s="473" t="s">
        <v>119</v>
      </c>
      <c r="AC30" s="474" t="s">
        <v>119</v>
      </c>
      <c r="AD30" s="474" t="s">
        <v>119</v>
      </c>
      <c r="AE30" s="475">
        <v>9999</v>
      </c>
      <c r="AF30" s="476">
        <v>0</v>
      </c>
      <c r="AG30" s="477"/>
      <c r="AH30" s="483">
        <f ca="1">IF(TYPE(VLOOKUP(H30,Nasazení!$A$3:$E$130,5,0))&lt;4,VLOOKUP(H30,Nasazení!$A$3:$E$130,5,0),0)</f>
        <v>10</v>
      </c>
      <c r="AI30" s="478">
        <f ca="1">IF(N($AH30)&gt;0,VLOOKUP($AH30,Body!$A$4:$F$259,5,0),"")</f>
        <v>115.161921875</v>
      </c>
      <c r="AJ30" s="479">
        <f ca="1">IF(N($AH30)&gt;0,VLOOKUP($AH30,Body!$A$4:$F$259,6,0),"")</f>
        <v>0</v>
      </c>
      <c r="AK30" s="478">
        <f ca="1">IF(N($AH30)&gt;0,VLOOKUP($AH30,Body!$A$4:$F$259,2,0),"")</f>
        <v>2.75</v>
      </c>
      <c r="AL30" s="480" t="str">
        <f t="shared" ca="1" si="8"/>
        <v>20 Club Rodamiento - Dlouhá Ivana</v>
      </c>
      <c r="AM30" s="481">
        <f t="shared" ca="1" si="9"/>
        <v>52.189</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2</v>
      </c>
      <c r="B31" s="433">
        <f t="shared" ca="1" si="1"/>
        <v>1</v>
      </c>
      <c r="C31" s="433">
        <f t="shared" ca="1" si="2"/>
        <v>50.126999999999995</v>
      </c>
      <c r="D31" s="433">
        <f t="shared" ca="1" si="3"/>
        <v>10246</v>
      </c>
      <c r="E31" s="433">
        <f t="shared" si="4"/>
        <v>58</v>
      </c>
      <c r="F31" s="434" t="str">
        <f t="shared" ca="1" si="5"/>
        <v>91050127989753999941814189</v>
      </c>
      <c r="G31" s="470" t="b">
        <f t="shared" ca="1" si="6"/>
        <v>0</v>
      </c>
      <c r="H31" s="471">
        <f t="shared" si="7"/>
        <v>21</v>
      </c>
      <c r="I31" s="472">
        <v>10159</v>
      </c>
      <c r="J31" s="473" t="s">
        <v>1069</v>
      </c>
      <c r="K31" s="474" t="s">
        <v>1070</v>
      </c>
      <c r="L31" s="474" t="s">
        <v>1466</v>
      </c>
      <c r="M31" s="475">
        <v>189</v>
      </c>
      <c r="N31" s="476">
        <v>16.501999999999999</v>
      </c>
      <c r="O31" s="472">
        <v>10163</v>
      </c>
      <c r="P31" s="473" t="s">
        <v>1071</v>
      </c>
      <c r="Q31" s="474" t="s">
        <v>614</v>
      </c>
      <c r="R31" s="474" t="s">
        <v>1466</v>
      </c>
      <c r="S31" s="475">
        <v>58</v>
      </c>
      <c r="T31" s="476">
        <v>33.625</v>
      </c>
      <c r="U31" s="472" t="s">
        <v>2043</v>
      </c>
      <c r="V31" s="473" t="s">
        <v>119</v>
      </c>
      <c r="W31" s="474" t="s">
        <v>119</v>
      </c>
      <c r="X31" s="474" t="s">
        <v>119</v>
      </c>
      <c r="Y31" s="475">
        <v>9999</v>
      </c>
      <c r="Z31" s="476">
        <v>0</v>
      </c>
      <c r="AA31" s="472" t="s">
        <v>2043</v>
      </c>
      <c r="AB31" s="473" t="s">
        <v>119</v>
      </c>
      <c r="AC31" s="474" t="s">
        <v>119</v>
      </c>
      <c r="AD31" s="474" t="s">
        <v>119</v>
      </c>
      <c r="AE31" s="475">
        <v>9999</v>
      </c>
      <c r="AF31" s="476">
        <v>0</v>
      </c>
      <c r="AG31" s="477"/>
      <c r="AH31" s="483">
        <f ca="1">IF(TYPE(VLOOKUP(H31,Nasazení!$A$3:$E$130,5,0))&lt;4,VLOOKUP(H31,Nasazení!$A$3:$E$130,5,0),0)</f>
        <v>63</v>
      </c>
      <c r="AI31" s="478">
        <f ca="1">IF(N($AH31)&gt;0,VLOOKUP($AH31,Body!$A$4:$F$259,5,0),"")</f>
        <v>1</v>
      </c>
      <c r="AJ31" s="479">
        <f ca="1">IF(N($AH31)&gt;0,VLOOKUP($AH31,Body!$A$4:$F$259,6,0),"")</f>
        <v>0</v>
      </c>
      <c r="AK31" s="478">
        <f ca="1">IF(N($AH31)&gt;0,VLOOKUP($AH31,Body!$A$4:$F$259,2,0),"")</f>
        <v>0</v>
      </c>
      <c r="AL31" s="480" t="str">
        <f t="shared" ca="1" si="8"/>
        <v>21 Sokol Kostomlaty - Vaníček Rudolf</v>
      </c>
      <c r="AM31" s="481">
        <f t="shared" ca="1" si="9"/>
        <v>50.126999999999995</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2</v>
      </c>
      <c r="B32" s="433">
        <f t="shared" ca="1" si="1"/>
        <v>1</v>
      </c>
      <c r="C32" s="433">
        <f t="shared" ca="1" si="2"/>
        <v>48.064</v>
      </c>
      <c r="D32" s="433">
        <f t="shared" ca="1" si="3"/>
        <v>10273</v>
      </c>
      <c r="E32" s="433">
        <f t="shared" si="4"/>
        <v>136</v>
      </c>
      <c r="F32" s="434" t="str">
        <f t="shared" ca="1" si="5"/>
        <v>91048064989726999863238125</v>
      </c>
      <c r="G32" s="470" t="b">
        <f t="shared" ca="1" si="6"/>
        <v>0</v>
      </c>
      <c r="H32" s="471">
        <f t="shared" si="7"/>
        <v>22</v>
      </c>
      <c r="I32" s="472">
        <v>12083</v>
      </c>
      <c r="J32" s="473" t="s">
        <v>1250</v>
      </c>
      <c r="K32" s="474" t="s">
        <v>741</v>
      </c>
      <c r="L32" s="474" t="s">
        <v>576</v>
      </c>
      <c r="M32" s="475">
        <v>136</v>
      </c>
      <c r="N32" s="476">
        <v>24.562999999999999</v>
      </c>
      <c r="O32" s="472">
        <v>12085</v>
      </c>
      <c r="P32" s="473" t="s">
        <v>1239</v>
      </c>
      <c r="Q32" s="474" t="s">
        <v>537</v>
      </c>
      <c r="R32" s="474" t="s">
        <v>576</v>
      </c>
      <c r="S32" s="475">
        <v>138</v>
      </c>
      <c r="T32" s="476">
        <v>23.501000000000001</v>
      </c>
      <c r="U32" s="472" t="s">
        <v>2043</v>
      </c>
      <c r="V32" s="473" t="s">
        <v>119</v>
      </c>
      <c r="W32" s="474" t="s">
        <v>119</v>
      </c>
      <c r="X32" s="474" t="s">
        <v>119</v>
      </c>
      <c r="Y32" s="475">
        <v>9999</v>
      </c>
      <c r="Z32" s="476">
        <v>0</v>
      </c>
      <c r="AA32" s="472" t="s">
        <v>2043</v>
      </c>
      <c r="AB32" s="473" t="s">
        <v>119</v>
      </c>
      <c r="AC32" s="474" t="s">
        <v>119</v>
      </c>
      <c r="AD32" s="474" t="s">
        <v>119</v>
      </c>
      <c r="AE32" s="475">
        <v>9999</v>
      </c>
      <c r="AF32" s="476">
        <v>0</v>
      </c>
      <c r="AG32" s="477"/>
      <c r="AH32" s="483">
        <f ca="1">IF(TYPE(VLOOKUP(H32,Nasazení!$A$3:$E$130,5,0))&lt;4,VLOOKUP(H32,Nasazení!$A$3:$E$130,5,0),0)</f>
        <v>11</v>
      </c>
      <c r="AI32" s="478">
        <f ca="1">IF(N($AH32)&gt;0,VLOOKUP($AH32,Body!$A$4:$F$259,5,0),"")</f>
        <v>109.92728906250001</v>
      </c>
      <c r="AJ32" s="479">
        <f ca="1">IF(N($AH32)&gt;0,VLOOKUP($AH32,Body!$A$4:$F$259,6,0),"")</f>
        <v>0</v>
      </c>
      <c r="AK32" s="478">
        <f ca="1">IF(N($AH32)&gt;0,VLOOKUP($AH32,Body!$A$4:$F$259,2,0),"")</f>
        <v>2.625</v>
      </c>
      <c r="AL32" s="480" t="str">
        <f t="shared" ca="1" si="8"/>
        <v>22 SKP Kulová osma - Zátka Miloslav</v>
      </c>
      <c r="AM32" s="481">
        <f t="shared" ca="1" si="9"/>
        <v>48.064</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2</v>
      </c>
      <c r="B33" s="433">
        <f t="shared" ca="1" si="1"/>
        <v>1</v>
      </c>
      <c r="C33" s="433">
        <f t="shared" ca="1" si="2"/>
        <v>46.658000000000001</v>
      </c>
      <c r="D33" s="433">
        <f t="shared" ca="1" si="3"/>
        <v>10313</v>
      </c>
      <c r="E33" s="403">
        <f t="shared" si="4"/>
        <v>124</v>
      </c>
      <c r="F33" s="434" t="str">
        <f t="shared" ca="1" si="5"/>
        <v>91046658989686999875139489</v>
      </c>
      <c r="G33" s="470" t="b">
        <f t="shared" ca="1" si="6"/>
        <v>0</v>
      </c>
      <c r="H33" s="471">
        <f t="shared" si="7"/>
        <v>23</v>
      </c>
      <c r="I33" s="472">
        <v>16109</v>
      </c>
      <c r="J33" s="473" t="s">
        <v>1629</v>
      </c>
      <c r="K33" s="474" t="s">
        <v>1539</v>
      </c>
      <c r="L33" s="474" t="s">
        <v>1202</v>
      </c>
      <c r="M33" s="475">
        <v>190</v>
      </c>
      <c r="N33" s="476">
        <v>19.751000000000001</v>
      </c>
      <c r="O33" s="472">
        <v>12042</v>
      </c>
      <c r="P33" s="473" t="s">
        <v>962</v>
      </c>
      <c r="Q33" s="474" t="s">
        <v>572</v>
      </c>
      <c r="R33" s="474" t="s">
        <v>576</v>
      </c>
      <c r="S33" s="475">
        <v>124</v>
      </c>
      <c r="T33" s="476">
        <v>26.907</v>
      </c>
      <c r="U33" s="472" t="s">
        <v>2043</v>
      </c>
      <c r="V33" s="473" t="s">
        <v>119</v>
      </c>
      <c r="W33" s="474" t="s">
        <v>119</v>
      </c>
      <c r="X33" s="474" t="s">
        <v>119</v>
      </c>
      <c r="Y33" s="475">
        <v>9999</v>
      </c>
      <c r="Z33" s="476">
        <v>0</v>
      </c>
      <c r="AA33" s="472" t="s">
        <v>2043</v>
      </c>
      <c r="AB33" s="473" t="s">
        <v>119</v>
      </c>
      <c r="AC33" s="474" t="s">
        <v>119</v>
      </c>
      <c r="AD33" s="474" t="s">
        <v>119</v>
      </c>
      <c r="AE33" s="475">
        <v>9999</v>
      </c>
      <c r="AF33" s="476">
        <v>0</v>
      </c>
      <c r="AG33" s="477"/>
      <c r="AH33" s="483">
        <f ca="1">IF(TYPE(VLOOKUP(H33,Nasazení!$A$3:$E$130,5,0))&lt;4,VLOOKUP(H33,Nasazení!$A$3:$E$130,5,0),0)</f>
        <v>32</v>
      </c>
      <c r="AI33" s="478">
        <f ca="1">IF(N($AH33)&gt;0,VLOOKUP($AH33,Body!$A$4:$F$259,5,0),"")</f>
        <v>41.877062500000001</v>
      </c>
      <c r="AJ33" s="479">
        <f ca="1">IF(N($AH33)&gt;0,VLOOKUP($AH33,Body!$A$4:$F$259,6,0),"")</f>
        <v>0</v>
      </c>
      <c r="AK33" s="478">
        <f ca="1">IF(N($AH33)&gt;0,VLOOKUP($AH33,Body!$A$4:$F$259,2,0),"")</f>
        <v>1</v>
      </c>
      <c r="AL33" s="480" t="str">
        <f t="shared" ca="1" si="8"/>
        <v>23 Club Rodamiento - Sjögren Magda</v>
      </c>
      <c r="AM33" s="481">
        <f t="shared" ca="1" si="9"/>
        <v>46.658000000000001</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2</v>
      </c>
      <c r="B34" s="433">
        <f t="shared" ca="1" si="1"/>
        <v>1</v>
      </c>
      <c r="C34" s="433">
        <f t="shared" ca="1" si="2"/>
        <v>45.783000000000001</v>
      </c>
      <c r="D34" s="433">
        <f t="shared" ca="1" si="3"/>
        <v>10265</v>
      </c>
      <c r="E34" s="433">
        <f t="shared" si="4"/>
        <v>96</v>
      </c>
      <c r="F34" s="434" t="str">
        <f t="shared" ca="1" si="5"/>
        <v>91045783989734999903307440</v>
      </c>
      <c r="G34" s="470" t="b">
        <f t="shared" ca="1" si="6"/>
        <v>0</v>
      </c>
      <c r="H34" s="471">
        <f t="shared" si="7"/>
        <v>24</v>
      </c>
      <c r="I34" s="472">
        <v>25011</v>
      </c>
      <c r="J34" s="473" t="s">
        <v>785</v>
      </c>
      <c r="K34" s="474" t="s">
        <v>553</v>
      </c>
      <c r="L34" s="474" t="s">
        <v>1203</v>
      </c>
      <c r="M34" s="475">
        <v>170</v>
      </c>
      <c r="N34" s="476">
        <v>20.97</v>
      </c>
      <c r="O34" s="472">
        <v>23131</v>
      </c>
      <c r="P34" s="473" t="s">
        <v>674</v>
      </c>
      <c r="Q34" s="474" t="s">
        <v>584</v>
      </c>
      <c r="R34" s="474" t="s">
        <v>163</v>
      </c>
      <c r="S34" s="475">
        <v>96</v>
      </c>
      <c r="T34" s="476">
        <v>24.812999999999999</v>
      </c>
      <c r="U34" s="472" t="s">
        <v>2043</v>
      </c>
      <c r="V34" s="473" t="s">
        <v>119</v>
      </c>
      <c r="W34" s="474" t="s">
        <v>119</v>
      </c>
      <c r="X34" s="474" t="s">
        <v>119</v>
      </c>
      <c r="Y34" s="475">
        <v>9999</v>
      </c>
      <c r="Z34" s="476">
        <v>0</v>
      </c>
      <c r="AA34" s="472" t="s">
        <v>2043</v>
      </c>
      <c r="AB34" s="473" t="s">
        <v>119</v>
      </c>
      <c r="AC34" s="474" t="s">
        <v>119</v>
      </c>
      <c r="AD34" s="474" t="s">
        <v>119</v>
      </c>
      <c r="AE34" s="475">
        <v>9999</v>
      </c>
      <c r="AF34" s="476">
        <v>0</v>
      </c>
      <c r="AG34" s="477"/>
      <c r="AH34" s="483">
        <f ca="1">IF(TYPE(VLOOKUP(H34,Nasazení!$A$3:$E$130,5,0))&lt;4,VLOOKUP(H34,Nasazení!$A$3:$E$130,5,0),0)</f>
        <v>7</v>
      </c>
      <c r="AI34" s="478">
        <f ca="1">IF(N($AH34)&gt;0,VLOOKUP($AH34,Body!$A$4:$F$259,5,0),"")</f>
        <v>136.100453125</v>
      </c>
      <c r="AJ34" s="479">
        <f ca="1">IF(N($AH34)&gt;0,VLOOKUP($AH34,Body!$A$4:$F$259,6,0),"")</f>
        <v>0</v>
      </c>
      <c r="AK34" s="478">
        <f ca="1">IF(N($AH34)&gt;0,VLOOKUP($AH34,Body!$A$4:$F$259,2,0),"")</f>
        <v>3.25</v>
      </c>
      <c r="AL34" s="480" t="str">
        <f t="shared" ca="1" si="8"/>
        <v>24 PK Osika Plzeň - Jirkovský Tomáš</v>
      </c>
      <c r="AM34" s="481">
        <f t="shared" ca="1" si="9"/>
        <v>45.783000000000001</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2</v>
      </c>
      <c r="B35" s="433">
        <f t="shared" ca="1" si="1"/>
        <v>1</v>
      </c>
      <c r="C35" s="433">
        <f t="shared" ca="1" si="2"/>
        <v>44.628</v>
      </c>
      <c r="D35" s="433">
        <f t="shared" ca="1" si="3"/>
        <v>10236</v>
      </c>
      <c r="E35" s="433">
        <f t="shared" si="4"/>
        <v>88</v>
      </c>
      <c r="F35" s="434" t="str">
        <f t="shared" ca="1" si="5"/>
        <v>91044628989763999911631902</v>
      </c>
      <c r="G35" s="470" t="b">
        <f t="shared" ca="1" si="6"/>
        <v>0</v>
      </c>
      <c r="H35" s="471">
        <f t="shared" si="7"/>
        <v>25</v>
      </c>
      <c r="I35" s="472">
        <v>13004</v>
      </c>
      <c r="J35" s="473" t="s">
        <v>1237</v>
      </c>
      <c r="K35" s="474" t="s">
        <v>535</v>
      </c>
      <c r="L35" s="474" t="s">
        <v>470</v>
      </c>
      <c r="M35" s="475">
        <v>149</v>
      </c>
      <c r="N35" s="476">
        <v>18.690000000000001</v>
      </c>
      <c r="O35" s="472">
        <v>13001</v>
      </c>
      <c r="P35" s="473" t="s">
        <v>1198</v>
      </c>
      <c r="Q35" s="474" t="s">
        <v>1199</v>
      </c>
      <c r="R35" s="474" t="s">
        <v>470</v>
      </c>
      <c r="S35" s="475">
        <v>88</v>
      </c>
      <c r="T35" s="476">
        <v>25.937999999999999</v>
      </c>
      <c r="U35" s="472" t="s">
        <v>2043</v>
      </c>
      <c r="V35" s="473" t="s">
        <v>119</v>
      </c>
      <c r="W35" s="474" t="s">
        <v>119</v>
      </c>
      <c r="X35" s="474" t="s">
        <v>119</v>
      </c>
      <c r="Y35" s="475">
        <v>9999</v>
      </c>
      <c r="Z35" s="476">
        <v>0</v>
      </c>
      <c r="AA35" s="472" t="s">
        <v>2043</v>
      </c>
      <c r="AB35" s="473" t="s">
        <v>119</v>
      </c>
      <c r="AC35" s="474" t="s">
        <v>119</v>
      </c>
      <c r="AD35" s="474" t="s">
        <v>119</v>
      </c>
      <c r="AE35" s="475">
        <v>9999</v>
      </c>
      <c r="AF35" s="476">
        <v>0</v>
      </c>
      <c r="AG35" s="477"/>
      <c r="AH35" s="483">
        <f ca="1">IF(TYPE(VLOOKUP(H35,Nasazení!$A$3:$E$130,5,0))&lt;4,VLOOKUP(H35,Nasazení!$A$3:$E$130,5,0),0)</f>
        <v>32</v>
      </c>
      <c r="AI35" s="478">
        <f ca="1">IF(N($AH35)&gt;0,VLOOKUP($AH35,Body!$A$4:$F$259,5,0),"")</f>
        <v>41.877062500000001</v>
      </c>
      <c r="AJ35" s="479">
        <f ca="1">IF(N($AH35)&gt;0,VLOOKUP($AH35,Body!$A$4:$F$259,6,0),"")</f>
        <v>0</v>
      </c>
      <c r="AK35" s="478">
        <f ca="1">IF(N($AH35)&gt;0,VLOOKUP($AH35,Body!$A$4:$F$259,2,0),"")</f>
        <v>1</v>
      </c>
      <c r="AL35" s="480" t="str">
        <f t="shared" ca="1" si="8"/>
        <v>25 PC Sokol Lipník - Mazúr Pavel</v>
      </c>
      <c r="AM35" s="481">
        <f t="shared" ca="1" si="9"/>
        <v>44.628</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2</v>
      </c>
      <c r="B36" s="433">
        <f t="shared" ca="1" si="1"/>
        <v>1</v>
      </c>
      <c r="C36" s="433">
        <f t="shared" ca="1" si="2"/>
        <v>42.250999999999998</v>
      </c>
      <c r="D36" s="433">
        <f t="shared" ca="1" si="3"/>
        <v>10311</v>
      </c>
      <c r="E36" s="433">
        <f t="shared" si="4"/>
        <v>151</v>
      </c>
      <c r="F36" s="434" t="str">
        <f t="shared" ca="1" si="5"/>
        <v>91042251989688999848391754</v>
      </c>
      <c r="G36" s="470" t="b">
        <f t="shared" ca="1" si="6"/>
        <v>0</v>
      </c>
      <c r="H36" s="471">
        <f t="shared" si="7"/>
        <v>26</v>
      </c>
      <c r="I36" s="472">
        <v>11048</v>
      </c>
      <c r="J36" s="473" t="s">
        <v>924</v>
      </c>
      <c r="K36" s="474" t="s">
        <v>604</v>
      </c>
      <c r="L36" s="474" t="s">
        <v>495</v>
      </c>
      <c r="M36" s="475">
        <v>151</v>
      </c>
      <c r="N36" s="476">
        <v>22.312999999999999</v>
      </c>
      <c r="O36" s="472">
        <v>14100</v>
      </c>
      <c r="P36" s="473" t="s">
        <v>1664</v>
      </c>
      <c r="Q36" s="474" t="s">
        <v>629</v>
      </c>
      <c r="R36" s="474" t="s">
        <v>495</v>
      </c>
      <c r="S36" s="475">
        <v>161</v>
      </c>
      <c r="T36" s="476">
        <v>19.937999999999999</v>
      </c>
      <c r="U36" s="472" t="s">
        <v>2043</v>
      </c>
      <c r="V36" s="473" t="s">
        <v>119</v>
      </c>
      <c r="W36" s="474" t="s">
        <v>119</v>
      </c>
      <c r="X36" s="474" t="s">
        <v>119</v>
      </c>
      <c r="Y36" s="475">
        <v>9999</v>
      </c>
      <c r="Z36" s="476">
        <v>0</v>
      </c>
      <c r="AA36" s="472" t="s">
        <v>2043</v>
      </c>
      <c r="AB36" s="473" t="s">
        <v>119</v>
      </c>
      <c r="AC36" s="474" t="s">
        <v>119</v>
      </c>
      <c r="AD36" s="474" t="s">
        <v>119</v>
      </c>
      <c r="AE36" s="475">
        <v>9999</v>
      </c>
      <c r="AF36" s="476">
        <v>0</v>
      </c>
      <c r="AG36" s="477"/>
      <c r="AH36" s="483">
        <f ca="1">IF(TYPE(VLOOKUP(H36,Nasazení!$A$3:$E$130,5,0))&lt;4,VLOOKUP(H36,Nasazení!$A$3:$E$130,5,0),0)</f>
        <v>63</v>
      </c>
      <c r="AI36" s="478">
        <f ca="1">IF(N($AH36)&gt;0,VLOOKUP($AH36,Body!$A$4:$F$259,5,0),"")</f>
        <v>1</v>
      </c>
      <c r="AJ36" s="479">
        <f ca="1">IF(N($AH36)&gt;0,VLOOKUP($AH36,Body!$A$4:$F$259,6,0),"")</f>
        <v>0</v>
      </c>
      <c r="AK36" s="478">
        <f ca="1">IF(N($AH36)&gt;0,VLOOKUP($AH36,Body!$A$4:$F$259,2,0),"")</f>
        <v>0</v>
      </c>
      <c r="AL36" s="480" t="str">
        <f t="shared" ca="1" si="8"/>
        <v>26 CdP Loděnice - Nagy Radim</v>
      </c>
      <c r="AM36" s="481">
        <f t="shared" ca="1" si="9"/>
        <v>42.250999999999998</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2</v>
      </c>
      <c r="B37" s="433">
        <f t="shared" ca="1" si="1"/>
        <v>1</v>
      </c>
      <c r="C37" s="433">
        <f t="shared" ca="1" si="2"/>
        <v>39.454999999999998</v>
      </c>
      <c r="D37" s="433">
        <f t="shared" ca="1" si="3"/>
        <v>10221</v>
      </c>
      <c r="E37" s="433">
        <f t="shared" si="4"/>
        <v>100</v>
      </c>
      <c r="F37" s="434" t="str">
        <f t="shared" ca="1" si="5"/>
        <v>91039455989778999899788287</v>
      </c>
      <c r="G37" s="470" t="b">
        <f t="shared" ca="1" si="6"/>
        <v>0</v>
      </c>
      <c r="H37" s="471">
        <f t="shared" si="7"/>
        <v>27</v>
      </c>
      <c r="I37" s="472">
        <v>25014</v>
      </c>
      <c r="J37" s="473" t="s">
        <v>913</v>
      </c>
      <c r="K37" s="474" t="s">
        <v>621</v>
      </c>
      <c r="L37" s="474" t="s">
        <v>1203</v>
      </c>
      <c r="M37" s="475">
        <v>100</v>
      </c>
      <c r="N37" s="476">
        <v>20.876000000000001</v>
      </c>
      <c r="O37" s="472">
        <v>12073</v>
      </c>
      <c r="P37" s="473" t="s">
        <v>1254</v>
      </c>
      <c r="Q37" s="474" t="s">
        <v>1255</v>
      </c>
      <c r="R37" s="474" t="s">
        <v>1203</v>
      </c>
      <c r="S37" s="475">
        <v>122</v>
      </c>
      <c r="T37" s="476">
        <v>18.579000000000001</v>
      </c>
      <c r="U37" s="472" t="s">
        <v>2043</v>
      </c>
      <c r="V37" s="473" t="s">
        <v>119</v>
      </c>
      <c r="W37" s="474" t="s">
        <v>119</v>
      </c>
      <c r="X37" s="474" t="s">
        <v>119</v>
      </c>
      <c r="Y37" s="475">
        <v>9999</v>
      </c>
      <c r="Z37" s="476">
        <v>0</v>
      </c>
      <c r="AA37" s="472" t="s">
        <v>2043</v>
      </c>
      <c r="AB37" s="473" t="s">
        <v>119</v>
      </c>
      <c r="AC37" s="474" t="s">
        <v>119</v>
      </c>
      <c r="AD37" s="474" t="s">
        <v>119</v>
      </c>
      <c r="AE37" s="475">
        <v>9999</v>
      </c>
      <c r="AF37" s="476">
        <v>0</v>
      </c>
      <c r="AG37" s="477"/>
      <c r="AH37" s="483">
        <f ca="1">IF(TYPE(VLOOKUP(H37,Nasazení!$A$3:$E$130,5,0))&lt;4,VLOOKUP(H37,Nasazení!$A$3:$E$130,5,0),0)</f>
        <v>32</v>
      </c>
      <c r="AI37" s="478">
        <f ca="1">IF(N($AH37)&gt;0,VLOOKUP($AH37,Body!$A$4:$F$259,5,0),"")</f>
        <v>41.877062500000001</v>
      </c>
      <c r="AJ37" s="479">
        <f ca="1">IF(N($AH37)&gt;0,VLOOKUP($AH37,Body!$A$4:$F$259,6,0),"")</f>
        <v>0</v>
      </c>
      <c r="AK37" s="478">
        <f ca="1">IF(N($AH37)&gt;0,VLOOKUP($AH37,Body!$A$4:$F$259,2,0),"")</f>
        <v>1</v>
      </c>
      <c r="AL37" s="480" t="str">
        <f t="shared" ca="1" si="8"/>
        <v>27 PK Osika Plzeň - Mráz Václav</v>
      </c>
      <c r="AM37" s="481">
        <f t="shared" ca="1" si="9"/>
        <v>39.454999999999998</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2</v>
      </c>
      <c r="B38" s="433">
        <f t="shared" ca="1" si="1"/>
        <v>1</v>
      </c>
      <c r="C38" s="433">
        <f t="shared" ca="1" si="2"/>
        <v>38.317</v>
      </c>
      <c r="D38" s="433">
        <f t="shared" ca="1" si="3"/>
        <v>10246</v>
      </c>
      <c r="E38" s="433">
        <f t="shared" si="4"/>
        <v>112</v>
      </c>
      <c r="F38" s="434" t="str">
        <f t="shared" ca="1" si="5"/>
        <v>91038317989753999887276175</v>
      </c>
      <c r="G38" s="470" t="b">
        <f t="shared" ca="1" si="6"/>
        <v>0</v>
      </c>
      <c r="H38" s="471">
        <f t="shared" si="7"/>
        <v>28</v>
      </c>
      <c r="I38" s="472">
        <v>13077</v>
      </c>
      <c r="J38" s="473" t="s">
        <v>1531</v>
      </c>
      <c r="K38" s="474" t="s">
        <v>535</v>
      </c>
      <c r="L38" s="474" t="s">
        <v>497</v>
      </c>
      <c r="M38" s="475">
        <v>112</v>
      </c>
      <c r="N38" s="476">
        <v>21.501999999999999</v>
      </c>
      <c r="O38" s="472">
        <v>13078</v>
      </c>
      <c r="P38" s="473" t="s">
        <v>1532</v>
      </c>
      <c r="Q38" s="474" t="s">
        <v>636</v>
      </c>
      <c r="R38" s="474" t="s">
        <v>497</v>
      </c>
      <c r="S38" s="475">
        <v>135</v>
      </c>
      <c r="T38" s="476">
        <v>16.815000000000001</v>
      </c>
      <c r="U38" s="472" t="s">
        <v>2043</v>
      </c>
      <c r="V38" s="473" t="s">
        <v>119</v>
      </c>
      <c r="W38" s="474" t="s">
        <v>119</v>
      </c>
      <c r="X38" s="474" t="s">
        <v>119</v>
      </c>
      <c r="Y38" s="475">
        <v>9999</v>
      </c>
      <c r="Z38" s="476">
        <v>0</v>
      </c>
      <c r="AA38" s="472" t="s">
        <v>2043</v>
      </c>
      <c r="AB38" s="473" t="s">
        <v>119</v>
      </c>
      <c r="AC38" s="474" t="s">
        <v>119</v>
      </c>
      <c r="AD38" s="474" t="s">
        <v>119</v>
      </c>
      <c r="AE38" s="475">
        <v>9999</v>
      </c>
      <c r="AF38" s="476">
        <v>0</v>
      </c>
      <c r="AG38" s="477"/>
      <c r="AH38" s="483">
        <f ca="1">IF(TYPE(VLOOKUP(H38,Nasazení!$A$3:$E$130,5,0))&lt;4,VLOOKUP(H38,Nasazení!$A$3:$E$130,5,0),0)</f>
        <v>8</v>
      </c>
      <c r="AI38" s="478">
        <f ca="1">IF(N($AH38)&gt;0,VLOOKUP($AH38,Body!$A$4:$F$259,5,0),"")</f>
        <v>125.63118750000001</v>
      </c>
      <c r="AJ38" s="479">
        <f ca="1">IF(N($AH38)&gt;0,VLOOKUP($AH38,Body!$A$4:$F$259,6,0),"")</f>
        <v>0</v>
      </c>
      <c r="AK38" s="478">
        <f ca="1">IF(N($AH38)&gt;0,VLOOKUP($AH38,Body!$A$4:$F$259,2,0),"")</f>
        <v>3</v>
      </c>
      <c r="AL38" s="480" t="str">
        <f t="shared" ca="1" si="8"/>
        <v>28 UBU Únětice - Kot Pavel</v>
      </c>
      <c r="AM38" s="481">
        <f t="shared" ca="1" si="9"/>
        <v>38.317</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2</v>
      </c>
      <c r="B39" s="433">
        <f t="shared" ca="1" si="1"/>
        <v>1</v>
      </c>
      <c r="C39" s="433">
        <f t="shared" ca="1" si="2"/>
        <v>37.064</v>
      </c>
      <c r="D39" s="433">
        <f t="shared" ca="1" si="3"/>
        <v>10337</v>
      </c>
      <c r="E39" s="433">
        <f t="shared" si="4"/>
        <v>153</v>
      </c>
      <c r="F39" s="434" t="str">
        <f t="shared" ca="1" si="5"/>
        <v>91037064989662999846835348</v>
      </c>
      <c r="G39" s="470" t="b">
        <f t="shared" ca="1" si="6"/>
        <v>0</v>
      </c>
      <c r="H39" s="471">
        <f t="shared" si="7"/>
        <v>29</v>
      </c>
      <c r="I39" s="472">
        <v>15059</v>
      </c>
      <c r="J39" s="473" t="s">
        <v>1452</v>
      </c>
      <c r="K39" s="474" t="s">
        <v>597</v>
      </c>
      <c r="L39" s="474" t="s">
        <v>472</v>
      </c>
      <c r="M39" s="475">
        <v>153</v>
      </c>
      <c r="N39" s="476">
        <v>18.032</v>
      </c>
      <c r="O39" s="472">
        <v>15020</v>
      </c>
      <c r="P39" s="473" t="s">
        <v>1599</v>
      </c>
      <c r="Q39" s="474" t="s">
        <v>1600</v>
      </c>
      <c r="R39" s="474" t="s">
        <v>1393</v>
      </c>
      <c r="S39" s="475">
        <v>185</v>
      </c>
      <c r="T39" s="476">
        <v>19.032</v>
      </c>
      <c r="U39" s="472" t="s">
        <v>2043</v>
      </c>
      <c r="V39" s="473" t="s">
        <v>119</v>
      </c>
      <c r="W39" s="474" t="s">
        <v>119</v>
      </c>
      <c r="X39" s="474" t="s">
        <v>119</v>
      </c>
      <c r="Y39" s="475">
        <v>9999</v>
      </c>
      <c r="Z39" s="476">
        <v>0</v>
      </c>
      <c r="AA39" s="472" t="s">
        <v>2043</v>
      </c>
      <c r="AB39" s="473" t="s">
        <v>119</v>
      </c>
      <c r="AC39" s="474" t="s">
        <v>119</v>
      </c>
      <c r="AD39" s="474" t="s">
        <v>119</v>
      </c>
      <c r="AE39" s="475">
        <v>9999</v>
      </c>
      <c r="AF39" s="476">
        <v>0</v>
      </c>
      <c r="AG39" s="477"/>
      <c r="AH39" s="483">
        <f ca="1">IF(TYPE(VLOOKUP(H39,Nasazení!$A$3:$E$130,5,0))&lt;4,VLOOKUP(H39,Nasazení!$A$3:$E$130,5,0),0)</f>
        <v>63</v>
      </c>
      <c r="AI39" s="478">
        <f ca="1">IF(N($AH39)&gt;0,VLOOKUP($AH39,Body!$A$4:$F$259,5,0),"")</f>
        <v>1</v>
      </c>
      <c r="AJ39" s="479">
        <f ca="1">IF(N($AH39)&gt;0,VLOOKUP($AH39,Body!$A$4:$F$259,6,0),"")</f>
        <v>0</v>
      </c>
      <c r="AK39" s="478">
        <f ca="1">IF(N($AH39)&gt;0,VLOOKUP($AH39,Body!$A$4:$F$259,2,0),"")</f>
        <v>0</v>
      </c>
      <c r="AL39" s="480" t="str">
        <f t="shared" ca="1" si="8"/>
        <v>29 SK Sahara Vědomice - Gröschl Zdeněk</v>
      </c>
      <c r="AM39" s="481">
        <f t="shared" ca="1" si="9"/>
        <v>37.064</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2</v>
      </c>
      <c r="B40" s="433">
        <f t="shared" ca="1" si="1"/>
        <v>1</v>
      </c>
      <c r="C40" s="433">
        <f t="shared" ca="1" si="2"/>
        <v>35.504000000000005</v>
      </c>
      <c r="D40" s="433">
        <f t="shared" ca="1" si="3"/>
        <v>10495</v>
      </c>
      <c r="E40" s="433">
        <f t="shared" si="4"/>
        <v>231</v>
      </c>
      <c r="F40" s="434" t="str">
        <f t="shared" ca="1" si="5"/>
        <v>91035504989504999768319281</v>
      </c>
      <c r="G40" s="470" t="b">
        <f t="shared" ca="1" si="6"/>
        <v>0</v>
      </c>
      <c r="H40" s="471">
        <f t="shared" si="7"/>
        <v>30</v>
      </c>
      <c r="I40" s="472">
        <v>16077</v>
      </c>
      <c r="J40" s="473" t="s">
        <v>1471</v>
      </c>
      <c r="K40" s="474" t="s">
        <v>535</v>
      </c>
      <c r="L40" s="474" t="s">
        <v>1419</v>
      </c>
      <c r="M40" s="475">
        <v>231</v>
      </c>
      <c r="N40" s="476">
        <v>18.564</v>
      </c>
      <c r="O40" s="472">
        <v>16086</v>
      </c>
      <c r="P40" s="473" t="s">
        <v>1611</v>
      </c>
      <c r="Q40" s="474" t="s">
        <v>552</v>
      </c>
      <c r="R40" s="474" t="s">
        <v>1419</v>
      </c>
      <c r="S40" s="475">
        <v>265</v>
      </c>
      <c r="T40" s="476">
        <v>16.940000000000001</v>
      </c>
      <c r="U40" s="472" t="s">
        <v>2043</v>
      </c>
      <c r="V40" s="473" t="s">
        <v>119</v>
      </c>
      <c r="W40" s="474" t="s">
        <v>119</v>
      </c>
      <c r="X40" s="474" t="s">
        <v>119</v>
      </c>
      <c r="Y40" s="475">
        <v>9999</v>
      </c>
      <c r="Z40" s="476">
        <v>0</v>
      </c>
      <c r="AA40" s="472" t="s">
        <v>2043</v>
      </c>
      <c r="AB40" s="473" t="s">
        <v>119</v>
      </c>
      <c r="AC40" s="474" t="s">
        <v>119</v>
      </c>
      <c r="AD40" s="474" t="s">
        <v>119</v>
      </c>
      <c r="AE40" s="475">
        <v>9999</v>
      </c>
      <c r="AF40" s="476">
        <v>0</v>
      </c>
      <c r="AG40" s="477"/>
      <c r="AH40" s="483">
        <f ca="1">IF(TYPE(VLOOKUP(H40,Nasazení!$A$3:$E$130,5,0))&lt;4,VLOOKUP(H40,Nasazení!$A$3:$E$130,5,0),0)</f>
        <v>63</v>
      </c>
      <c r="AI40" s="478">
        <f ca="1">IF(N($AH40)&gt;0,VLOOKUP($AH40,Body!$A$4:$F$259,5,0),"")</f>
        <v>1</v>
      </c>
      <c r="AJ40" s="479">
        <f ca="1">IF(N($AH40)&gt;0,VLOOKUP($AH40,Body!$A$4:$F$259,6,0),"")</f>
        <v>0</v>
      </c>
      <c r="AK40" s="478">
        <f ca="1">IF(N($AH40)&gt;0,VLOOKUP($AH40,Body!$A$4:$F$259,2,0),"")</f>
        <v>0</v>
      </c>
      <c r="AL40" s="480" t="str">
        <f t="shared" ca="1" si="8"/>
        <v>30 SK Španielka Řepy - Holoubek Pavel</v>
      </c>
      <c r="AM40" s="481">
        <f t="shared" ca="1" si="9"/>
        <v>35.504000000000005</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2</v>
      </c>
      <c r="B41" s="433">
        <f t="shared" ca="1" si="1"/>
        <v>1</v>
      </c>
      <c r="C41" s="433">
        <f t="shared" ca="1" si="2"/>
        <v>35.314</v>
      </c>
      <c r="D41" s="433">
        <f t="shared" ca="1" si="3"/>
        <v>10368</v>
      </c>
      <c r="E41" s="433">
        <f t="shared" si="4"/>
        <v>175</v>
      </c>
      <c r="F41" s="434" t="str">
        <f t="shared" ca="1" si="5"/>
        <v>91035314989631999824584032</v>
      </c>
      <c r="G41" s="470" t="b">
        <f t="shared" ca="1" si="6"/>
        <v>0</v>
      </c>
      <c r="H41" s="471">
        <f t="shared" si="7"/>
        <v>31</v>
      </c>
      <c r="I41" s="472">
        <v>15033</v>
      </c>
      <c r="J41" s="473" t="s">
        <v>1555</v>
      </c>
      <c r="K41" s="474" t="s">
        <v>584</v>
      </c>
      <c r="L41" s="474" t="s">
        <v>576</v>
      </c>
      <c r="M41" s="475">
        <v>194</v>
      </c>
      <c r="N41" s="476">
        <v>17.157</v>
      </c>
      <c r="O41" s="472">
        <v>15034</v>
      </c>
      <c r="P41" s="473" t="s">
        <v>1434</v>
      </c>
      <c r="Q41" s="474" t="s">
        <v>1435</v>
      </c>
      <c r="R41" s="474" t="s">
        <v>576</v>
      </c>
      <c r="S41" s="475">
        <v>175</v>
      </c>
      <c r="T41" s="476">
        <v>18.157</v>
      </c>
      <c r="U41" s="472" t="s">
        <v>2043</v>
      </c>
      <c r="V41" s="473" t="s">
        <v>119</v>
      </c>
      <c r="W41" s="474" t="s">
        <v>119</v>
      </c>
      <c r="X41" s="474" t="s">
        <v>119</v>
      </c>
      <c r="Y41" s="475">
        <v>9999</v>
      </c>
      <c r="Z41" s="476">
        <v>0</v>
      </c>
      <c r="AA41" s="472" t="s">
        <v>2043</v>
      </c>
      <c r="AB41" s="473" t="s">
        <v>119</v>
      </c>
      <c r="AC41" s="474" t="s">
        <v>119</v>
      </c>
      <c r="AD41" s="474" t="s">
        <v>119</v>
      </c>
      <c r="AE41" s="475">
        <v>9999</v>
      </c>
      <c r="AF41" s="476">
        <v>0</v>
      </c>
      <c r="AG41" s="477"/>
      <c r="AH41" s="483">
        <f ca="1">IF(TYPE(VLOOKUP(H41,Nasazení!$A$3:$E$130,5,0))&lt;4,VLOOKUP(H41,Nasazení!$A$3:$E$130,5,0),0)</f>
        <v>63</v>
      </c>
      <c r="AI41" s="478">
        <f ca="1">IF(N($AH41)&gt;0,VLOOKUP($AH41,Body!$A$4:$F$259,5,0),"")</f>
        <v>1</v>
      </c>
      <c r="AJ41" s="479">
        <f ca="1">IF(N($AH41)&gt;0,VLOOKUP($AH41,Body!$A$4:$F$259,6,0),"")</f>
        <v>0</v>
      </c>
      <c r="AK41" s="478">
        <f ca="1">IF(N($AH41)&gt;0,VLOOKUP($AH41,Body!$A$4:$F$259,2,0),"")</f>
        <v>0</v>
      </c>
      <c r="AL41" s="480" t="str">
        <f t="shared" ca="1" si="8"/>
        <v>31 SKP Kulová osma - Lhoták Jaroslav</v>
      </c>
      <c r="AM41" s="481">
        <f t="shared" ca="1" si="9"/>
        <v>35.314</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2</v>
      </c>
      <c r="B42" s="433">
        <f t="shared" ca="1" si="1"/>
        <v>1</v>
      </c>
      <c r="C42" s="433">
        <f t="shared" ca="1" si="2"/>
        <v>34.125</v>
      </c>
      <c r="D42" s="433">
        <f t="shared" ca="1" si="3"/>
        <v>20048</v>
      </c>
      <c r="E42" s="433">
        <f t="shared" si="4"/>
        <v>50</v>
      </c>
      <c r="F42" s="434" t="str">
        <f t="shared" ca="1" si="5"/>
        <v>91034125979951999949642118</v>
      </c>
      <c r="G42" s="470" t="b">
        <f t="shared" ca="1" si="6"/>
        <v>0</v>
      </c>
      <c r="H42" s="471">
        <f t="shared" si="7"/>
        <v>32</v>
      </c>
      <c r="I42" s="472">
        <v>25017</v>
      </c>
      <c r="J42" s="473" t="s">
        <v>996</v>
      </c>
      <c r="K42" s="474" t="s">
        <v>539</v>
      </c>
      <c r="L42" s="474" t="s">
        <v>1203</v>
      </c>
      <c r="M42" s="475">
        <v>50</v>
      </c>
      <c r="N42" s="476">
        <v>34.125</v>
      </c>
      <c r="O42" s="472" t="s">
        <v>2043</v>
      </c>
      <c r="P42" s="473" t="s">
        <v>1890</v>
      </c>
      <c r="Q42" s="474" t="s">
        <v>119</v>
      </c>
      <c r="R42" s="474" t="s">
        <v>119</v>
      </c>
      <c r="S42" s="475">
        <v>9999</v>
      </c>
      <c r="T42" s="476">
        <v>0</v>
      </c>
      <c r="U42" s="472" t="s">
        <v>2043</v>
      </c>
      <c r="V42" s="473" t="s">
        <v>119</v>
      </c>
      <c r="W42" s="474" t="s">
        <v>119</v>
      </c>
      <c r="X42" s="474" t="s">
        <v>119</v>
      </c>
      <c r="Y42" s="475">
        <v>9999</v>
      </c>
      <c r="Z42" s="476">
        <v>0</v>
      </c>
      <c r="AA42" s="472" t="s">
        <v>2043</v>
      </c>
      <c r="AB42" s="473" t="s">
        <v>119</v>
      </c>
      <c r="AC42" s="474" t="s">
        <v>119</v>
      </c>
      <c r="AD42" s="474" t="s">
        <v>119</v>
      </c>
      <c r="AE42" s="475">
        <v>9999</v>
      </c>
      <c r="AF42" s="476">
        <v>0</v>
      </c>
      <c r="AG42" s="477"/>
      <c r="AH42" s="483">
        <f ca="1">IF(TYPE(VLOOKUP(H42,Nasazení!$A$3:$E$130,5,0))&lt;4,VLOOKUP(H42,Nasazení!$A$3:$E$130,5,0),0)</f>
        <v>5</v>
      </c>
      <c r="AI42" s="478">
        <f ca="1">IF(N($AH42)&gt;0,VLOOKUP($AH42,Body!$A$4:$F$259,5,0),"")</f>
        <v>157.03898437500001</v>
      </c>
      <c r="AJ42" s="479">
        <f ca="1">IF(N($AH42)&gt;0,VLOOKUP($AH42,Body!$A$4:$F$259,6,0),"")</f>
        <v>0</v>
      </c>
      <c r="AK42" s="478">
        <f ca="1">IF(N($AH42)&gt;0,VLOOKUP($AH42,Body!$A$4:$F$259,2,0),"")</f>
        <v>3.75</v>
      </c>
      <c r="AL42" s="480" t="str">
        <f t="shared" ca="1" si="8"/>
        <v>32 PK Osika Plzeň - Radoušová Jana</v>
      </c>
      <c r="AM42" s="481">
        <f t="shared" ca="1" si="9"/>
        <v>34.125</v>
      </c>
      <c r="AN42" s="411">
        <f ca="1">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03">
        <f t="shared" ref="A43:A74" si="12">IF(OR(LEFT(J43,1)=" ",ISBLANK(J43)),0,1)+IF(OR(LEFT(P43,1)=" ",ISBLANK(P43)),0,1)+IF(OR(LEFT(V43,1)=" ",ISBLANK(V43)),0,1)</f>
        <v>2</v>
      </c>
      <c r="B43" s="403">
        <f t="shared" ref="B43:B74" ca="1" si="13">IF(AND(TYPE(G43&lt;15),G43=FALSE),1,0)</f>
        <v>1</v>
      </c>
      <c r="C43" s="403">
        <f t="shared" ref="C43:C74" ca="1" si="14">IF(B43=0,0,N43+T43+Z43)</f>
        <v>33.908999999999999</v>
      </c>
      <c r="D43" s="403">
        <f t="shared" ref="D43:D74" ca="1" si="15">IF(B43=0,99999,M43+S43+Y43)</f>
        <v>10415</v>
      </c>
      <c r="E43" s="433">
        <f t="shared" ref="E43:E74" si="16">MIN(M43,S43,Y43)</f>
        <v>173</v>
      </c>
      <c r="F43" s="434" t="str">
        <f t="shared" ref="F43:F74" ca="1" si="17">CONCATENATE(IF(AND($P$4=1,H43&gt;2*$O$7),"0","9"),TEXT(B43,"0"),IF(AND($P$4=1,H43&gt;2*$O$7),"000000",TEXT(1000*C43,"000000")),IF(AND($P$4=1,H43&gt;2*$O$7),"000000",TEXT(999999-D43,"000000")),IF(AND($P$4=1,H43&gt;2*$O$7),"000000",TEXT(999999-E43,"000000")),TEXT(999999*RAND(),"000000"))</f>
        <v>91033909989584999826279308</v>
      </c>
      <c r="G43" s="470" t="b">
        <f t="shared" ref="G43:G74" ca="1" si="18">IF(OR($K$6&gt;A43,AR43&gt;0),TRUE,FALSE)</f>
        <v>0</v>
      </c>
      <c r="H43" s="471">
        <f t="shared" ref="H43:H74" si="19">ROW(H43)-10</f>
        <v>33</v>
      </c>
      <c r="I43" s="472">
        <v>20676</v>
      </c>
      <c r="J43" s="473" t="s">
        <v>759</v>
      </c>
      <c r="K43" s="474" t="s">
        <v>761</v>
      </c>
      <c r="L43" s="474" t="s">
        <v>491</v>
      </c>
      <c r="M43" s="475">
        <v>243</v>
      </c>
      <c r="N43" s="476">
        <v>12.439</v>
      </c>
      <c r="O43" s="472">
        <v>10138</v>
      </c>
      <c r="P43" s="473" t="s">
        <v>756</v>
      </c>
      <c r="Q43" s="474" t="s">
        <v>757</v>
      </c>
      <c r="R43" s="474" t="s">
        <v>491</v>
      </c>
      <c r="S43" s="475">
        <v>173</v>
      </c>
      <c r="T43" s="476">
        <v>21.47</v>
      </c>
      <c r="U43" s="472" t="s">
        <v>2043</v>
      </c>
      <c r="V43" s="473" t="s">
        <v>119</v>
      </c>
      <c r="W43" s="474" t="s">
        <v>119</v>
      </c>
      <c r="X43" s="474" t="s">
        <v>119</v>
      </c>
      <c r="Y43" s="475">
        <v>9999</v>
      </c>
      <c r="Z43" s="476">
        <v>0</v>
      </c>
      <c r="AA43" s="472" t="s">
        <v>2043</v>
      </c>
      <c r="AB43" s="473" t="s">
        <v>119</v>
      </c>
      <c r="AC43" s="474" t="s">
        <v>119</v>
      </c>
      <c r="AD43" s="474" t="s">
        <v>119</v>
      </c>
      <c r="AE43" s="475">
        <v>9999</v>
      </c>
      <c r="AF43" s="476">
        <v>0</v>
      </c>
      <c r="AG43" s="477"/>
      <c r="AH43" s="483">
        <f ca="1">IF(TYPE(VLOOKUP(H43,Nasazení!$A$3:$E$130,5,0))&lt;4,VLOOKUP(H43,Nasazení!$A$3:$E$130,5,0),0)</f>
        <v>63</v>
      </c>
      <c r="AI43" s="478">
        <f ca="1">IF(N($AH43)&gt;0,VLOOKUP($AH43,Body!$A$4:$F$259,5,0),"")</f>
        <v>1</v>
      </c>
      <c r="AJ43" s="479">
        <f ca="1">IF(N($AH43)&gt;0,VLOOKUP($AH43,Body!$A$4:$F$259,6,0),"")</f>
        <v>0</v>
      </c>
      <c r="AK43" s="478">
        <f ca="1">IF(N($AH43)&gt;0,VLOOKUP($AH43,Body!$A$4:$F$259,2,0),"")</f>
        <v>0</v>
      </c>
      <c r="AL43" s="480" t="str">
        <f t="shared" ref="AL43:AL74" ca="1" si="20">IF(N(H43)&gt;$K$7,"",CONCATENATE(IF($U$7="","",H43&amp;" "),L43,IF(L43="",""," - "),J43," ",K43))</f>
        <v>33 PEK Stolín - Hájková Iveta</v>
      </c>
      <c r="AM43" s="481">
        <f t="shared" ref="AM43:AM74" ca="1" si="21">C43</f>
        <v>33.908999999999999</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33">
        <f t="shared" si="12"/>
        <v>2</v>
      </c>
      <c r="B44" s="433">
        <f t="shared" ca="1" si="13"/>
        <v>1</v>
      </c>
      <c r="C44" s="433">
        <f t="shared" ca="1" si="14"/>
        <v>32.345999999999997</v>
      </c>
      <c r="D44" s="433">
        <f t="shared" ca="1" si="15"/>
        <v>10304</v>
      </c>
      <c r="E44" s="433">
        <f t="shared" si="16"/>
        <v>147</v>
      </c>
      <c r="F44" s="434" t="str">
        <f t="shared" ca="1" si="17"/>
        <v>91032346989695999852400583</v>
      </c>
      <c r="G44" s="470" t="b">
        <f t="shared" ca="1" si="18"/>
        <v>0</v>
      </c>
      <c r="H44" s="471">
        <f t="shared" si="19"/>
        <v>34</v>
      </c>
      <c r="I44" s="472">
        <v>25075</v>
      </c>
      <c r="J44" s="473" t="s">
        <v>1107</v>
      </c>
      <c r="K44" s="474" t="s">
        <v>551</v>
      </c>
      <c r="L44" s="474" t="s">
        <v>1203</v>
      </c>
      <c r="M44" s="475">
        <v>147</v>
      </c>
      <c r="N44" s="476">
        <v>16.594999999999999</v>
      </c>
      <c r="O44" s="472">
        <v>25015</v>
      </c>
      <c r="P44" s="473" t="s">
        <v>915</v>
      </c>
      <c r="Q44" s="474" t="s">
        <v>555</v>
      </c>
      <c r="R44" s="474" t="s">
        <v>1203</v>
      </c>
      <c r="S44" s="475">
        <v>158</v>
      </c>
      <c r="T44" s="476">
        <v>15.750999999999999</v>
      </c>
      <c r="U44" s="472" t="s">
        <v>2043</v>
      </c>
      <c r="V44" s="473" t="s">
        <v>119</v>
      </c>
      <c r="W44" s="474" t="s">
        <v>119</v>
      </c>
      <c r="X44" s="474" t="s">
        <v>119</v>
      </c>
      <c r="Y44" s="475">
        <v>9999</v>
      </c>
      <c r="Z44" s="476">
        <v>0</v>
      </c>
      <c r="AA44" s="472" t="s">
        <v>2043</v>
      </c>
      <c r="AB44" s="473" t="s">
        <v>119</v>
      </c>
      <c r="AC44" s="474" t="s">
        <v>119</v>
      </c>
      <c r="AD44" s="474" t="s">
        <v>119</v>
      </c>
      <c r="AE44" s="475">
        <v>9999</v>
      </c>
      <c r="AF44" s="476">
        <v>0</v>
      </c>
      <c r="AG44" s="477"/>
      <c r="AH44" s="483">
        <f ca="1">IF(TYPE(VLOOKUP(H44,Nasazení!$A$3:$E$130,5,0))&lt;4,VLOOKUP(H44,Nasazení!$A$3:$E$130,5,0),0)</f>
        <v>9</v>
      </c>
      <c r="AI44" s="478">
        <f ca="1">IF(N($AH44)&gt;0,VLOOKUP($AH44,Body!$A$4:$F$259,5,0),"")</f>
        <v>120.3965546875</v>
      </c>
      <c r="AJ44" s="479">
        <f ca="1">IF(N($AH44)&gt;0,VLOOKUP($AH44,Body!$A$4:$F$259,6,0),"")</f>
        <v>0</v>
      </c>
      <c r="AK44" s="478">
        <f ca="1">IF(N($AH44)&gt;0,VLOOKUP($AH44,Body!$A$4:$F$259,2,0),"")</f>
        <v>2.875</v>
      </c>
      <c r="AL44" s="480" t="str">
        <f t="shared" ca="1" si="20"/>
        <v>34 PK Osika Plzeň - Špitálský Milan</v>
      </c>
      <c r="AM44" s="481">
        <f t="shared" ca="1" si="21"/>
        <v>32.345999999999997</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4.25">
      <c r="A45" s="433">
        <f t="shared" si="12"/>
        <v>2</v>
      </c>
      <c r="B45" s="433">
        <f t="shared" ca="1" si="13"/>
        <v>1</v>
      </c>
      <c r="C45" s="433">
        <f t="shared" ca="1" si="14"/>
        <v>31.971000000000004</v>
      </c>
      <c r="D45" s="433">
        <f t="shared" ca="1" si="15"/>
        <v>10476</v>
      </c>
      <c r="E45" s="433">
        <f t="shared" si="16"/>
        <v>224</v>
      </c>
      <c r="F45" s="434" t="str">
        <f t="shared" ca="1" si="17"/>
        <v>91031971989523999775488376</v>
      </c>
      <c r="G45" s="470" t="b">
        <f t="shared" ca="1" si="18"/>
        <v>0</v>
      </c>
      <c r="H45" s="471">
        <f t="shared" si="19"/>
        <v>35</v>
      </c>
      <c r="I45" s="472">
        <v>12079</v>
      </c>
      <c r="J45" s="473" t="s">
        <v>1247</v>
      </c>
      <c r="K45" s="474" t="s">
        <v>621</v>
      </c>
      <c r="L45" s="474" t="s">
        <v>576</v>
      </c>
      <c r="M45" s="475">
        <v>224</v>
      </c>
      <c r="N45" s="476">
        <v>17.251000000000001</v>
      </c>
      <c r="O45" s="472">
        <v>12080</v>
      </c>
      <c r="P45" s="473" t="s">
        <v>1233</v>
      </c>
      <c r="Q45" s="474" t="s">
        <v>617</v>
      </c>
      <c r="R45" s="474" t="s">
        <v>576</v>
      </c>
      <c r="S45" s="475">
        <v>253</v>
      </c>
      <c r="T45" s="476">
        <v>14.72</v>
      </c>
      <c r="U45" s="472" t="s">
        <v>2043</v>
      </c>
      <c r="V45" s="473" t="s">
        <v>119</v>
      </c>
      <c r="W45" s="474" t="s">
        <v>119</v>
      </c>
      <c r="X45" s="474" t="s">
        <v>119</v>
      </c>
      <c r="Y45" s="475">
        <v>9999</v>
      </c>
      <c r="Z45" s="476">
        <v>0</v>
      </c>
      <c r="AA45" s="472" t="s">
        <v>2043</v>
      </c>
      <c r="AB45" s="473" t="s">
        <v>119</v>
      </c>
      <c r="AC45" s="474" t="s">
        <v>119</v>
      </c>
      <c r="AD45" s="474" t="s">
        <v>119</v>
      </c>
      <c r="AE45" s="475">
        <v>9999</v>
      </c>
      <c r="AF45" s="476">
        <v>0</v>
      </c>
      <c r="AG45" s="477"/>
      <c r="AH45" s="483">
        <f ca="1">IF(TYPE(VLOOKUP(H45,Nasazení!$A$3:$E$130,5,0))&lt;4,VLOOKUP(H45,Nasazení!$A$3:$E$130,5,0),0)</f>
        <v>63</v>
      </c>
      <c r="AI45" s="478">
        <f ca="1">IF(N($AH45)&gt;0,VLOOKUP($AH45,Body!$A$4:$F$259,5,0),"")</f>
        <v>1</v>
      </c>
      <c r="AJ45" s="479">
        <f ca="1">IF(N($AH45)&gt;0,VLOOKUP($AH45,Body!$A$4:$F$259,6,0),"")</f>
        <v>0</v>
      </c>
      <c r="AK45" s="478">
        <f ca="1">IF(N($AH45)&gt;0,VLOOKUP($AH45,Body!$A$4:$F$259,2,0),"")</f>
        <v>0</v>
      </c>
      <c r="AL45" s="480" t="str">
        <f t="shared" ca="1" si="20"/>
        <v>35 SKP Kulová osma - Slapnička Václav</v>
      </c>
      <c r="AM45" s="481">
        <f t="shared" ca="1" si="21"/>
        <v>31.971000000000004</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4.25">
      <c r="A46" s="433">
        <f t="shared" si="12"/>
        <v>2</v>
      </c>
      <c r="B46" s="433">
        <f t="shared" ca="1" si="13"/>
        <v>1</v>
      </c>
      <c r="C46" s="433">
        <f t="shared" ca="1" si="14"/>
        <v>31.907000000000004</v>
      </c>
      <c r="D46" s="433">
        <f t="shared" ca="1" si="15"/>
        <v>10430</v>
      </c>
      <c r="E46" s="433">
        <f t="shared" si="16"/>
        <v>105</v>
      </c>
      <c r="F46" s="434" t="str">
        <f t="shared" ca="1" si="17"/>
        <v>91031907989569999894317865</v>
      </c>
      <c r="G46" s="470" t="b">
        <f t="shared" ca="1" si="18"/>
        <v>0</v>
      </c>
      <c r="H46" s="471">
        <f t="shared" si="19"/>
        <v>36</v>
      </c>
      <c r="I46" s="472">
        <v>14019</v>
      </c>
      <c r="J46" s="473" t="s">
        <v>1719</v>
      </c>
      <c r="K46" s="474" t="s">
        <v>668</v>
      </c>
      <c r="L46" s="474" t="s">
        <v>472</v>
      </c>
      <c r="M46" s="475">
        <v>105</v>
      </c>
      <c r="N46" s="476">
        <v>23.469000000000001</v>
      </c>
      <c r="O46" s="472">
        <v>17001</v>
      </c>
      <c r="P46" s="473" t="s">
        <v>1613</v>
      </c>
      <c r="Q46" s="474" t="s">
        <v>590</v>
      </c>
      <c r="R46" s="474" t="s">
        <v>472</v>
      </c>
      <c r="S46" s="475">
        <v>326</v>
      </c>
      <c r="T46" s="476">
        <v>8.4380000000000006</v>
      </c>
      <c r="U46" s="472" t="s">
        <v>2043</v>
      </c>
      <c r="V46" s="473" t="s">
        <v>119</v>
      </c>
      <c r="W46" s="474" t="s">
        <v>119</v>
      </c>
      <c r="X46" s="474" t="s">
        <v>119</v>
      </c>
      <c r="Y46" s="475">
        <v>9999</v>
      </c>
      <c r="Z46" s="476">
        <v>0</v>
      </c>
      <c r="AA46" s="472" t="s">
        <v>2043</v>
      </c>
      <c r="AB46" s="473" t="s">
        <v>119</v>
      </c>
      <c r="AC46" s="474" t="s">
        <v>119</v>
      </c>
      <c r="AD46" s="474" t="s">
        <v>119</v>
      </c>
      <c r="AE46" s="475">
        <v>9999</v>
      </c>
      <c r="AF46" s="476">
        <v>0</v>
      </c>
      <c r="AG46" s="477"/>
      <c r="AH46" s="483">
        <f ca="1">IF(TYPE(VLOOKUP(H46,Nasazení!$A$3:$E$130,5,0))&lt;4,VLOOKUP(H46,Nasazení!$A$3:$E$130,5,0),0)</f>
        <v>63</v>
      </c>
      <c r="AI46" s="478">
        <f ca="1">IF(N($AH46)&gt;0,VLOOKUP($AH46,Body!$A$4:$F$259,5,0),"")</f>
        <v>1</v>
      </c>
      <c r="AJ46" s="479">
        <f ca="1">IF(N($AH46)&gt;0,VLOOKUP($AH46,Body!$A$4:$F$259,6,0),"")</f>
        <v>0</v>
      </c>
      <c r="AK46" s="478">
        <f ca="1">IF(N($AH46)&gt;0,VLOOKUP($AH46,Body!$A$4:$F$259,2,0),"")</f>
        <v>0</v>
      </c>
      <c r="AL46" s="480" t="str">
        <f t="shared" ca="1" si="20"/>
        <v>36 SK Sahara Vědomice - Červenková Andrea</v>
      </c>
      <c r="AM46" s="481">
        <f t="shared" ca="1" si="21"/>
        <v>31.907000000000004</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4.25">
      <c r="A47" s="433">
        <f t="shared" si="12"/>
        <v>2</v>
      </c>
      <c r="B47" s="433">
        <f t="shared" ca="1" si="13"/>
        <v>1</v>
      </c>
      <c r="C47" s="433">
        <f t="shared" ca="1" si="14"/>
        <v>31.158000000000001</v>
      </c>
      <c r="D47" s="433">
        <f t="shared" ca="1" si="15"/>
        <v>10358</v>
      </c>
      <c r="E47" s="433">
        <f t="shared" si="16"/>
        <v>176</v>
      </c>
      <c r="F47" s="434" t="str">
        <f t="shared" ca="1" si="17"/>
        <v>91031158989641999823552702</v>
      </c>
      <c r="G47" s="470" t="b">
        <f t="shared" ca="1" si="18"/>
        <v>0</v>
      </c>
      <c r="H47" s="471">
        <f t="shared" si="19"/>
        <v>37</v>
      </c>
      <c r="I47" s="472">
        <v>10071</v>
      </c>
      <c r="J47" s="473" t="s">
        <v>886</v>
      </c>
      <c r="K47" s="474" t="s">
        <v>575</v>
      </c>
      <c r="L47" s="474" t="s">
        <v>491</v>
      </c>
      <c r="M47" s="475">
        <v>183</v>
      </c>
      <c r="N47" s="476">
        <v>14.095000000000001</v>
      </c>
      <c r="O47" s="472">
        <v>98465</v>
      </c>
      <c r="P47" s="473" t="s">
        <v>756</v>
      </c>
      <c r="Q47" s="474" t="s">
        <v>543</v>
      </c>
      <c r="R47" s="474" t="s">
        <v>491</v>
      </c>
      <c r="S47" s="475">
        <v>176</v>
      </c>
      <c r="T47" s="476">
        <v>17.062999999999999</v>
      </c>
      <c r="U47" s="472" t="s">
        <v>2043</v>
      </c>
      <c r="V47" s="473" t="s">
        <v>119</v>
      </c>
      <c r="W47" s="474" t="s">
        <v>119</v>
      </c>
      <c r="X47" s="474" t="s">
        <v>119</v>
      </c>
      <c r="Y47" s="475">
        <v>9999</v>
      </c>
      <c r="Z47" s="476">
        <v>0</v>
      </c>
      <c r="AA47" s="472" t="s">
        <v>2043</v>
      </c>
      <c r="AB47" s="473" t="s">
        <v>119</v>
      </c>
      <c r="AC47" s="474" t="s">
        <v>119</v>
      </c>
      <c r="AD47" s="474" t="s">
        <v>119</v>
      </c>
      <c r="AE47" s="475">
        <v>9999</v>
      </c>
      <c r="AF47" s="476">
        <v>0</v>
      </c>
      <c r="AG47" s="477"/>
      <c r="AH47" s="483">
        <f ca="1">IF(TYPE(VLOOKUP(H47,Nasazení!$A$3:$E$130,5,0))&lt;4,VLOOKUP(H47,Nasazení!$A$3:$E$130,5,0),0)</f>
        <v>63</v>
      </c>
      <c r="AI47" s="478">
        <f ca="1">IF(N($AH47)&gt;0,VLOOKUP($AH47,Body!$A$4:$F$259,5,0),"")</f>
        <v>1</v>
      </c>
      <c r="AJ47" s="479">
        <f ca="1">IF(N($AH47)&gt;0,VLOOKUP($AH47,Body!$A$4:$F$259,6,0),"")</f>
        <v>0</v>
      </c>
      <c r="AK47" s="478">
        <f ca="1">IF(N($AH47)&gt;0,VLOOKUP($AH47,Body!$A$4:$F$259,2,0),"")</f>
        <v>0</v>
      </c>
      <c r="AL47" s="480" t="str">
        <f t="shared" ca="1" si="20"/>
        <v>37 PEK Stolín - Mallat Oldřich</v>
      </c>
      <c r="AM47" s="481">
        <f t="shared" ca="1" si="21"/>
        <v>31.158000000000001</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4.25">
      <c r="A48" s="433">
        <f t="shared" si="12"/>
        <v>2</v>
      </c>
      <c r="B48" s="433">
        <f t="shared" ca="1" si="13"/>
        <v>1</v>
      </c>
      <c r="C48" s="433">
        <f t="shared" ca="1" si="14"/>
        <v>30.347000000000001</v>
      </c>
      <c r="D48" s="433">
        <f t="shared" ca="1" si="15"/>
        <v>10427</v>
      </c>
      <c r="E48" s="433">
        <f t="shared" si="16"/>
        <v>213</v>
      </c>
      <c r="F48" s="434" t="str">
        <f t="shared" ca="1" si="17"/>
        <v>91030347989572999786427181</v>
      </c>
      <c r="G48" s="470" t="b">
        <f t="shared" ca="1" si="18"/>
        <v>0</v>
      </c>
      <c r="H48" s="471">
        <f t="shared" si="19"/>
        <v>38</v>
      </c>
      <c r="I48" s="472">
        <v>14028</v>
      </c>
      <c r="J48" s="473" t="s">
        <v>1464</v>
      </c>
      <c r="K48" s="474" t="s">
        <v>1465</v>
      </c>
      <c r="L48" s="474" t="s">
        <v>1466</v>
      </c>
      <c r="M48" s="475">
        <v>215</v>
      </c>
      <c r="N48" s="476">
        <v>15.064</v>
      </c>
      <c r="O48" s="472">
        <v>14068</v>
      </c>
      <c r="P48" s="473" t="s">
        <v>1581</v>
      </c>
      <c r="Q48" s="474" t="s">
        <v>625</v>
      </c>
      <c r="R48" s="474" t="s">
        <v>1466</v>
      </c>
      <c r="S48" s="475">
        <v>213</v>
      </c>
      <c r="T48" s="476">
        <v>15.282999999999999</v>
      </c>
      <c r="U48" s="472" t="s">
        <v>2043</v>
      </c>
      <c r="V48" s="473" t="s">
        <v>119</v>
      </c>
      <c r="W48" s="474" t="s">
        <v>119</v>
      </c>
      <c r="X48" s="474" t="s">
        <v>119</v>
      </c>
      <c r="Y48" s="475">
        <v>9999</v>
      </c>
      <c r="Z48" s="476">
        <v>0</v>
      </c>
      <c r="AA48" s="472" t="s">
        <v>2043</v>
      </c>
      <c r="AB48" s="473" t="s">
        <v>119</v>
      </c>
      <c r="AC48" s="474" t="s">
        <v>119</v>
      </c>
      <c r="AD48" s="474" t="s">
        <v>119</v>
      </c>
      <c r="AE48" s="475">
        <v>9999</v>
      </c>
      <c r="AF48" s="476">
        <v>0</v>
      </c>
      <c r="AG48" s="477"/>
      <c r="AH48" s="483">
        <f ca="1">IF(TYPE(VLOOKUP(H48,Nasazení!$A$3:$E$130,5,0))&lt;4,VLOOKUP(H48,Nasazení!$A$3:$E$130,5,0),0)</f>
        <v>63</v>
      </c>
      <c r="AI48" s="478">
        <f ca="1">IF(N($AH48)&gt;0,VLOOKUP($AH48,Body!$A$4:$F$259,5,0),"")</f>
        <v>1</v>
      </c>
      <c r="AJ48" s="479">
        <f ca="1">IF(N($AH48)&gt;0,VLOOKUP($AH48,Body!$A$4:$F$259,6,0),"")</f>
        <v>0</v>
      </c>
      <c r="AK48" s="478">
        <f ca="1">IF(N($AH48)&gt;0,VLOOKUP($AH48,Body!$A$4:$F$259,2,0),"")</f>
        <v>0</v>
      </c>
      <c r="AL48" s="480" t="str">
        <f t="shared" ca="1" si="20"/>
        <v>38 Sokol Kostomlaty - Hercoková Milena</v>
      </c>
      <c r="AM48" s="481">
        <f t="shared" ca="1" si="21"/>
        <v>30.347000000000001</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4.25">
      <c r="A49" s="433">
        <f t="shared" si="12"/>
        <v>2</v>
      </c>
      <c r="B49" s="433">
        <f t="shared" ca="1" si="13"/>
        <v>1</v>
      </c>
      <c r="C49" s="433">
        <f t="shared" ca="1" si="14"/>
        <v>29.625</v>
      </c>
      <c r="D49" s="433">
        <f t="shared" ca="1" si="15"/>
        <v>10806</v>
      </c>
      <c r="E49" s="433">
        <f t="shared" si="16"/>
        <v>61</v>
      </c>
      <c r="F49" s="434" t="str">
        <f t="shared" ca="1" si="17"/>
        <v>91029625989193999938336837</v>
      </c>
      <c r="G49" s="470" t="b">
        <f t="shared" ca="1" si="18"/>
        <v>0</v>
      </c>
      <c r="H49" s="471">
        <f t="shared" si="19"/>
        <v>39</v>
      </c>
      <c r="I49" s="472">
        <v>25002</v>
      </c>
      <c r="J49" s="473" t="s">
        <v>727</v>
      </c>
      <c r="K49" s="474" t="s">
        <v>629</v>
      </c>
      <c r="L49" s="474" t="s">
        <v>472</v>
      </c>
      <c r="M49" s="475">
        <v>746</v>
      </c>
      <c r="N49" s="476">
        <v>0</v>
      </c>
      <c r="O49" s="472">
        <v>11006</v>
      </c>
      <c r="P49" s="473" t="s">
        <v>860</v>
      </c>
      <c r="Q49" s="474" t="s">
        <v>551</v>
      </c>
      <c r="R49" s="474" t="s">
        <v>472</v>
      </c>
      <c r="S49" s="475">
        <v>61</v>
      </c>
      <c r="T49" s="476">
        <v>29.625</v>
      </c>
      <c r="U49" s="472" t="s">
        <v>2043</v>
      </c>
      <c r="V49" s="473" t="s">
        <v>119</v>
      </c>
      <c r="W49" s="474" t="s">
        <v>119</v>
      </c>
      <c r="X49" s="474" t="s">
        <v>119</v>
      </c>
      <c r="Y49" s="475">
        <v>9999</v>
      </c>
      <c r="Z49" s="476">
        <v>0</v>
      </c>
      <c r="AA49" s="472" t="s">
        <v>2043</v>
      </c>
      <c r="AB49" s="473" t="s">
        <v>119</v>
      </c>
      <c r="AC49" s="474" t="s">
        <v>119</v>
      </c>
      <c r="AD49" s="474" t="s">
        <v>119</v>
      </c>
      <c r="AE49" s="475">
        <v>9999</v>
      </c>
      <c r="AF49" s="476">
        <v>0</v>
      </c>
      <c r="AG49" s="477"/>
      <c r="AH49" s="483">
        <f ca="1">IF(TYPE(VLOOKUP(H49,Nasazení!$A$3:$E$130,5,0))&lt;4,VLOOKUP(H49,Nasazení!$A$3:$E$130,5,0),0)</f>
        <v>63</v>
      </c>
      <c r="AI49" s="478">
        <f ca="1">IF(N($AH49)&gt;0,VLOOKUP($AH49,Body!$A$4:$F$259,5,0),"")</f>
        <v>1</v>
      </c>
      <c r="AJ49" s="479">
        <f ca="1">IF(N($AH49)&gt;0,VLOOKUP($AH49,Body!$A$4:$F$259,6,0),"")</f>
        <v>0</v>
      </c>
      <c r="AK49" s="478">
        <f ca="1">IF(N($AH49)&gt;0,VLOOKUP($AH49,Body!$A$4:$F$259,2,0),"")</f>
        <v>0</v>
      </c>
      <c r="AL49" s="480" t="str">
        <f t="shared" ca="1" si="20"/>
        <v>39 SK Sahara Vědomice - Hocková Kateřina</v>
      </c>
      <c r="AM49" s="481">
        <f t="shared" ca="1" si="21"/>
        <v>29.625</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4.25">
      <c r="A50" s="433">
        <f t="shared" si="12"/>
        <v>2</v>
      </c>
      <c r="B50" s="433">
        <f t="shared" ca="1" si="13"/>
        <v>1</v>
      </c>
      <c r="C50" s="433">
        <f t="shared" ca="1" si="14"/>
        <v>28.645</v>
      </c>
      <c r="D50" s="433">
        <f t="shared" ca="1" si="15"/>
        <v>10462</v>
      </c>
      <c r="E50" s="433">
        <f t="shared" si="16"/>
        <v>164</v>
      </c>
      <c r="F50" s="434" t="str">
        <f t="shared" ca="1" si="17"/>
        <v>91028645989537999835198397</v>
      </c>
      <c r="G50" s="470" t="b">
        <f t="shared" ca="1" si="18"/>
        <v>0</v>
      </c>
      <c r="H50" s="471">
        <f t="shared" si="19"/>
        <v>40</v>
      </c>
      <c r="I50" s="472">
        <v>12032</v>
      </c>
      <c r="J50" s="473" t="s">
        <v>963</v>
      </c>
      <c r="K50" s="474" t="s">
        <v>625</v>
      </c>
      <c r="L50" s="474" t="s">
        <v>1202</v>
      </c>
      <c r="M50" s="475">
        <v>299</v>
      </c>
      <c r="N50" s="476">
        <v>12.141999999999999</v>
      </c>
      <c r="O50" s="472">
        <v>15043</v>
      </c>
      <c r="P50" s="473" t="s">
        <v>1604</v>
      </c>
      <c r="Q50" s="474" t="s">
        <v>942</v>
      </c>
      <c r="R50" s="474" t="s">
        <v>497</v>
      </c>
      <c r="S50" s="475">
        <v>164</v>
      </c>
      <c r="T50" s="476">
        <v>16.503</v>
      </c>
      <c r="U50" s="472" t="s">
        <v>2043</v>
      </c>
      <c r="V50" s="473" t="s">
        <v>119</v>
      </c>
      <c r="W50" s="474" t="s">
        <v>119</v>
      </c>
      <c r="X50" s="474" t="s">
        <v>119</v>
      </c>
      <c r="Y50" s="475">
        <v>9999</v>
      </c>
      <c r="Z50" s="476">
        <v>0</v>
      </c>
      <c r="AA50" s="472" t="s">
        <v>2043</v>
      </c>
      <c r="AB50" s="473" t="s">
        <v>119</v>
      </c>
      <c r="AC50" s="474" t="s">
        <v>119</v>
      </c>
      <c r="AD50" s="474" t="s">
        <v>119</v>
      </c>
      <c r="AE50" s="475">
        <v>9999</v>
      </c>
      <c r="AF50" s="476">
        <v>0</v>
      </c>
      <c r="AG50" s="477"/>
      <c r="AH50" s="483">
        <f ca="1">IF(TYPE(VLOOKUP(H50,Nasazení!$A$3:$E$130,5,0))&lt;4,VLOOKUP(H50,Nasazení!$A$3:$E$130,5,0),0)</f>
        <v>63</v>
      </c>
      <c r="AI50" s="478">
        <f ca="1">IF(N($AH50)&gt;0,VLOOKUP($AH50,Body!$A$4:$F$259,5,0),"")</f>
        <v>1</v>
      </c>
      <c r="AJ50" s="479">
        <f ca="1">IF(N($AH50)&gt;0,VLOOKUP($AH50,Body!$A$4:$F$259,6,0),"")</f>
        <v>0</v>
      </c>
      <c r="AK50" s="478">
        <f ca="1">IF(N($AH50)&gt;0,VLOOKUP($AH50,Body!$A$4:$F$259,2,0),"")</f>
        <v>0</v>
      </c>
      <c r="AL50" s="480" t="str">
        <f t="shared" ca="1" si="20"/>
        <v>40 Club Rodamiento - Pinkasová Marie</v>
      </c>
      <c r="AM50" s="481">
        <f t="shared" ca="1" si="21"/>
        <v>28.645</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4.25">
      <c r="A51" s="433">
        <f t="shared" si="12"/>
        <v>2</v>
      </c>
      <c r="B51" s="433">
        <f t="shared" ca="1" si="13"/>
        <v>1</v>
      </c>
      <c r="C51" s="433">
        <f t="shared" ca="1" si="14"/>
        <v>27.308</v>
      </c>
      <c r="D51" s="433">
        <f t="shared" ca="1" si="15"/>
        <v>10544</v>
      </c>
      <c r="E51" s="433">
        <f t="shared" si="16"/>
        <v>208</v>
      </c>
      <c r="F51" s="434" t="str">
        <f t="shared" ca="1" si="17"/>
        <v>91027308989455999791139498</v>
      </c>
      <c r="G51" s="470" t="b">
        <f t="shared" ca="1" si="18"/>
        <v>0</v>
      </c>
      <c r="H51" s="471">
        <f t="shared" si="19"/>
        <v>41</v>
      </c>
      <c r="I51" s="472">
        <v>96216</v>
      </c>
      <c r="J51" s="473" t="s">
        <v>873</v>
      </c>
      <c r="K51" s="474" t="s">
        <v>874</v>
      </c>
      <c r="L51" s="474" t="s">
        <v>1218</v>
      </c>
      <c r="M51" s="475">
        <v>208</v>
      </c>
      <c r="N51" s="476">
        <v>16.704000000000001</v>
      </c>
      <c r="O51" s="472">
        <v>16085</v>
      </c>
      <c r="P51" s="473" t="s">
        <v>1608</v>
      </c>
      <c r="Q51" s="474" t="s">
        <v>534</v>
      </c>
      <c r="R51" s="474" t="s">
        <v>1419</v>
      </c>
      <c r="S51" s="475">
        <v>337</v>
      </c>
      <c r="T51" s="476">
        <v>10.603999999999999</v>
      </c>
      <c r="U51" s="472" t="s">
        <v>2043</v>
      </c>
      <c r="V51" s="473" t="s">
        <v>119</v>
      </c>
      <c r="W51" s="474" t="s">
        <v>119</v>
      </c>
      <c r="X51" s="474" t="s">
        <v>119</v>
      </c>
      <c r="Y51" s="475">
        <v>9999</v>
      </c>
      <c r="Z51" s="476">
        <v>0</v>
      </c>
      <c r="AA51" s="472" t="s">
        <v>2043</v>
      </c>
      <c r="AB51" s="473" t="s">
        <v>119</v>
      </c>
      <c r="AC51" s="474" t="s">
        <v>119</v>
      </c>
      <c r="AD51" s="474" t="s">
        <v>119</v>
      </c>
      <c r="AE51" s="475">
        <v>9999</v>
      </c>
      <c r="AF51" s="476">
        <v>0</v>
      </c>
      <c r="AG51" s="477"/>
      <c r="AH51" s="483">
        <f ca="1">IF(TYPE(VLOOKUP(H51,Nasazení!$A$3:$E$130,5,0))&lt;4,VLOOKUP(H51,Nasazení!$A$3:$E$130,5,0),0)</f>
        <v>63</v>
      </c>
      <c r="AI51" s="478">
        <f ca="1">IF(N($AH51)&gt;0,VLOOKUP($AH51,Body!$A$4:$F$259,5,0),"")</f>
        <v>1</v>
      </c>
      <c r="AJ51" s="479">
        <f ca="1">IF(N($AH51)&gt;0,VLOOKUP($AH51,Body!$A$4:$F$259,6,0),"")</f>
        <v>0</v>
      </c>
      <c r="AK51" s="478">
        <f ca="1">IF(N($AH51)&gt;0,VLOOKUP($AH51,Body!$A$4:$F$259,2,0),"")</f>
        <v>0</v>
      </c>
      <c r="AL51" s="480" t="str">
        <f t="shared" ca="1" si="20"/>
        <v>41 C.T.P. Club Ořech - Leiský Leander</v>
      </c>
      <c r="AM51" s="481">
        <f t="shared" ca="1" si="21"/>
        <v>27.308</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4.25">
      <c r="A52" s="403">
        <f t="shared" si="12"/>
        <v>2</v>
      </c>
      <c r="B52" s="403">
        <f t="shared" ca="1" si="13"/>
        <v>1</v>
      </c>
      <c r="C52" s="403">
        <f t="shared" ca="1" si="14"/>
        <v>25.096</v>
      </c>
      <c r="D52" s="403">
        <f t="shared" ca="1" si="15"/>
        <v>10588</v>
      </c>
      <c r="E52" s="433">
        <f t="shared" si="16"/>
        <v>292</v>
      </c>
      <c r="F52" s="434" t="str">
        <f t="shared" ca="1" si="17"/>
        <v>91025096989411999707775829</v>
      </c>
      <c r="G52" s="470" t="b">
        <f t="shared" ca="1" si="18"/>
        <v>0</v>
      </c>
      <c r="H52" s="471">
        <f t="shared" si="19"/>
        <v>42</v>
      </c>
      <c r="I52" s="472">
        <v>16082</v>
      </c>
      <c r="J52" s="473" t="s">
        <v>1595</v>
      </c>
      <c r="K52" s="474" t="s">
        <v>584</v>
      </c>
      <c r="L52" s="474" t="s">
        <v>1419</v>
      </c>
      <c r="M52" s="475">
        <v>292</v>
      </c>
      <c r="N52" s="476">
        <v>11.532</v>
      </c>
      <c r="O52" s="472">
        <v>16072</v>
      </c>
      <c r="P52" s="473" t="s">
        <v>1449</v>
      </c>
      <c r="Q52" s="474" t="s">
        <v>636</v>
      </c>
      <c r="R52" s="474" t="s">
        <v>1419</v>
      </c>
      <c r="S52" s="475">
        <v>297</v>
      </c>
      <c r="T52" s="476">
        <v>13.564</v>
      </c>
      <c r="U52" s="472" t="s">
        <v>2043</v>
      </c>
      <c r="V52" s="473" t="s">
        <v>119</v>
      </c>
      <c r="W52" s="474" t="s">
        <v>119</v>
      </c>
      <c r="X52" s="474" t="s">
        <v>119</v>
      </c>
      <c r="Y52" s="475">
        <v>9999</v>
      </c>
      <c r="Z52" s="476">
        <v>0</v>
      </c>
      <c r="AA52" s="472" t="s">
        <v>2043</v>
      </c>
      <c r="AB52" s="473" t="s">
        <v>119</v>
      </c>
      <c r="AC52" s="474" t="s">
        <v>119</v>
      </c>
      <c r="AD52" s="474" t="s">
        <v>119</v>
      </c>
      <c r="AE52" s="475">
        <v>9999</v>
      </c>
      <c r="AF52" s="476">
        <v>0</v>
      </c>
      <c r="AG52" s="477"/>
      <c r="AH52" s="483">
        <f ca="1">IF(TYPE(VLOOKUP(H52,Nasazení!$A$3:$E$130,5,0))&lt;4,VLOOKUP(H52,Nasazení!$A$3:$E$130,5,0),0)</f>
        <v>63</v>
      </c>
      <c r="AI52" s="478">
        <f ca="1">IF(N($AH52)&gt;0,VLOOKUP($AH52,Body!$A$4:$F$259,5,0),"")</f>
        <v>1</v>
      </c>
      <c r="AJ52" s="479">
        <f ca="1">IF(N($AH52)&gt;0,VLOOKUP($AH52,Body!$A$4:$F$259,6,0),"")</f>
        <v>0</v>
      </c>
      <c r="AK52" s="478">
        <f ca="1">IF(N($AH52)&gt;0,VLOOKUP($AH52,Body!$A$4:$F$259,2,0),"")</f>
        <v>0</v>
      </c>
      <c r="AL52" s="480" t="str">
        <f t="shared" ca="1" si="20"/>
        <v>42 SK Španielka Řepy - Pastorek Jaroslav</v>
      </c>
      <c r="AM52" s="481">
        <f t="shared" ca="1" si="21"/>
        <v>25.096</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4.25">
      <c r="A53" s="433">
        <f t="shared" si="12"/>
        <v>2</v>
      </c>
      <c r="B53" s="433">
        <f t="shared" ca="1" si="13"/>
        <v>1</v>
      </c>
      <c r="C53" s="433">
        <f t="shared" ca="1" si="14"/>
        <v>24.91</v>
      </c>
      <c r="D53" s="433">
        <f t="shared" ca="1" si="15"/>
        <v>10629</v>
      </c>
      <c r="E53" s="433">
        <f t="shared" si="16"/>
        <v>314</v>
      </c>
      <c r="F53" s="434" t="str">
        <f t="shared" ca="1" si="17"/>
        <v>91024910989370999685656138</v>
      </c>
      <c r="G53" s="470" t="b">
        <f t="shared" ca="1" si="18"/>
        <v>0</v>
      </c>
      <c r="H53" s="471">
        <f t="shared" si="19"/>
        <v>43</v>
      </c>
      <c r="I53" s="472">
        <v>16089</v>
      </c>
      <c r="J53" s="473" t="s">
        <v>1721</v>
      </c>
      <c r="K53" s="474" t="s">
        <v>1722</v>
      </c>
      <c r="L53" s="474" t="s">
        <v>1419</v>
      </c>
      <c r="M53" s="475">
        <v>316</v>
      </c>
      <c r="N53" s="476">
        <v>11.798999999999999</v>
      </c>
      <c r="O53" s="472">
        <v>16090</v>
      </c>
      <c r="P53" s="473" t="s">
        <v>1723</v>
      </c>
      <c r="Q53" s="474" t="s">
        <v>625</v>
      </c>
      <c r="R53" s="474" t="s">
        <v>1419</v>
      </c>
      <c r="S53" s="475">
        <v>314</v>
      </c>
      <c r="T53" s="476">
        <v>13.111000000000001</v>
      </c>
      <c r="U53" s="472" t="s">
        <v>2043</v>
      </c>
      <c r="V53" s="473" t="s">
        <v>119</v>
      </c>
      <c r="W53" s="474" t="s">
        <v>119</v>
      </c>
      <c r="X53" s="474" t="s">
        <v>119</v>
      </c>
      <c r="Y53" s="475">
        <v>9999</v>
      </c>
      <c r="Z53" s="476">
        <v>0</v>
      </c>
      <c r="AA53" s="472" t="s">
        <v>2043</v>
      </c>
      <c r="AB53" s="473" t="s">
        <v>119</v>
      </c>
      <c r="AC53" s="474" t="s">
        <v>119</v>
      </c>
      <c r="AD53" s="474" t="s">
        <v>119</v>
      </c>
      <c r="AE53" s="475">
        <v>9999</v>
      </c>
      <c r="AF53" s="476">
        <v>0</v>
      </c>
      <c r="AG53" s="477"/>
      <c r="AH53" s="483">
        <f ca="1">IF(TYPE(VLOOKUP(H53,Nasazení!$A$3:$E$130,5,0))&lt;4,VLOOKUP(H53,Nasazení!$A$3:$E$130,5,0),0)</f>
        <v>32</v>
      </c>
      <c r="AI53" s="478">
        <f ca="1">IF(N($AH53)&gt;0,VLOOKUP($AH53,Body!$A$4:$F$259,5,0),"")</f>
        <v>41.877062500000001</v>
      </c>
      <c r="AJ53" s="479">
        <f ca="1">IF(N($AH53)&gt;0,VLOOKUP($AH53,Body!$A$4:$F$259,6,0),"")</f>
        <v>0</v>
      </c>
      <c r="AK53" s="478">
        <f ca="1">IF(N($AH53)&gt;0,VLOOKUP($AH53,Body!$A$4:$F$259,2,0),"")</f>
        <v>1</v>
      </c>
      <c r="AL53" s="480" t="str">
        <f t="shared" ca="1" si="20"/>
        <v>43 SK Španielka Řepy - Řezník Alois</v>
      </c>
      <c r="AM53" s="481">
        <f t="shared" ca="1" si="21"/>
        <v>24.91</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4.25">
      <c r="A54" s="433">
        <f t="shared" si="12"/>
        <v>2</v>
      </c>
      <c r="B54" s="433">
        <f t="shared" ca="1" si="13"/>
        <v>1</v>
      </c>
      <c r="C54" s="433">
        <f t="shared" ca="1" si="14"/>
        <v>23.587</v>
      </c>
      <c r="D54" s="433">
        <f t="shared" ca="1" si="15"/>
        <v>10623</v>
      </c>
      <c r="E54" s="433">
        <f t="shared" si="16"/>
        <v>206</v>
      </c>
      <c r="F54" s="434" t="str">
        <f t="shared" ca="1" si="17"/>
        <v>91023587989376999793292860</v>
      </c>
      <c r="G54" s="470" t="b">
        <f t="shared" ca="1" si="18"/>
        <v>0</v>
      </c>
      <c r="H54" s="471">
        <f t="shared" si="19"/>
        <v>44</v>
      </c>
      <c r="I54" s="472">
        <v>16058</v>
      </c>
      <c r="J54" s="473" t="s">
        <v>1585</v>
      </c>
      <c r="K54" s="474" t="s">
        <v>584</v>
      </c>
      <c r="L54" s="474" t="s">
        <v>1487</v>
      </c>
      <c r="M54" s="475">
        <v>206</v>
      </c>
      <c r="N54" s="476">
        <v>15.500999999999999</v>
      </c>
      <c r="O54" s="472">
        <v>16065</v>
      </c>
      <c r="P54" s="473" t="s">
        <v>1486</v>
      </c>
      <c r="Q54" s="474" t="s">
        <v>708</v>
      </c>
      <c r="R54" s="474" t="s">
        <v>1487</v>
      </c>
      <c r="S54" s="475">
        <v>418</v>
      </c>
      <c r="T54" s="476">
        <v>8.0860000000000003</v>
      </c>
      <c r="U54" s="472" t="s">
        <v>2043</v>
      </c>
      <c r="V54" s="473" t="s">
        <v>119</v>
      </c>
      <c r="W54" s="474" t="s">
        <v>119</v>
      </c>
      <c r="X54" s="474" t="s">
        <v>119</v>
      </c>
      <c r="Y54" s="475">
        <v>9999</v>
      </c>
      <c r="Z54" s="476">
        <v>0</v>
      </c>
      <c r="AA54" s="472" t="s">
        <v>2043</v>
      </c>
      <c r="AB54" s="473" t="s">
        <v>119</v>
      </c>
      <c r="AC54" s="474" t="s">
        <v>119</v>
      </c>
      <c r="AD54" s="474" t="s">
        <v>119</v>
      </c>
      <c r="AE54" s="475">
        <v>9999</v>
      </c>
      <c r="AF54" s="476">
        <v>0</v>
      </c>
      <c r="AG54" s="477"/>
      <c r="AH54" s="483">
        <f ca="1">IF(TYPE(VLOOKUP(H54,Nasazení!$A$3:$E$130,5,0))&lt;4,VLOOKUP(H54,Nasazení!$A$3:$E$130,5,0),0)</f>
        <v>14</v>
      </c>
      <c r="AI54" s="478">
        <f ca="1">IF(N($AH54)&gt;0,VLOOKUP($AH54,Body!$A$4:$F$259,5,0),"")</f>
        <v>94.223390625000008</v>
      </c>
      <c r="AJ54" s="479">
        <f ca="1">IF(N($AH54)&gt;0,VLOOKUP($AH54,Body!$A$4:$F$259,6,0),"")</f>
        <v>0</v>
      </c>
      <c r="AK54" s="478">
        <f ca="1">IF(N($AH54)&gt;0,VLOOKUP($AH54,Body!$A$4:$F$259,2,0),"")</f>
        <v>2.25</v>
      </c>
      <c r="AL54" s="480" t="str">
        <f t="shared" ca="1" si="20"/>
        <v>44 Spolek Park Grébovka - Nepomucký Jaroslav</v>
      </c>
      <c r="AM54" s="481">
        <f t="shared" ca="1" si="21"/>
        <v>23.587</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4.25">
      <c r="A55" s="433">
        <f t="shared" si="12"/>
        <v>2</v>
      </c>
      <c r="B55" s="433">
        <f t="shared" ca="1" si="13"/>
        <v>1</v>
      </c>
      <c r="C55" s="433">
        <f t="shared" ca="1" si="14"/>
        <v>23.312999999999999</v>
      </c>
      <c r="D55" s="433">
        <f t="shared" ca="1" si="15"/>
        <v>10590</v>
      </c>
      <c r="E55" s="433">
        <f t="shared" si="16"/>
        <v>188</v>
      </c>
      <c r="F55" s="434" t="str">
        <f t="shared" ca="1" si="17"/>
        <v>91023313989409999811232125</v>
      </c>
      <c r="G55" s="470" t="b">
        <f t="shared" ca="1" si="18"/>
        <v>0</v>
      </c>
      <c r="H55" s="471">
        <f t="shared" si="19"/>
        <v>45</v>
      </c>
      <c r="I55" s="472">
        <v>16060</v>
      </c>
      <c r="J55" s="473" t="s">
        <v>1540</v>
      </c>
      <c r="K55" s="474" t="s">
        <v>552</v>
      </c>
      <c r="L55" s="474" t="s">
        <v>1487</v>
      </c>
      <c r="M55" s="475">
        <v>188</v>
      </c>
      <c r="N55" s="476">
        <v>17.282</v>
      </c>
      <c r="O55" s="472">
        <v>16064</v>
      </c>
      <c r="P55" s="473" t="s">
        <v>1486</v>
      </c>
      <c r="Q55" s="474" t="s">
        <v>612</v>
      </c>
      <c r="R55" s="474" t="s">
        <v>1487</v>
      </c>
      <c r="S55" s="475">
        <v>403</v>
      </c>
      <c r="T55" s="476">
        <v>6.0309999999999997</v>
      </c>
      <c r="U55" s="472" t="s">
        <v>2043</v>
      </c>
      <c r="V55" s="473" t="s">
        <v>119</v>
      </c>
      <c r="W55" s="474" t="s">
        <v>119</v>
      </c>
      <c r="X55" s="474" t="s">
        <v>119</v>
      </c>
      <c r="Y55" s="475">
        <v>9999</v>
      </c>
      <c r="Z55" s="476">
        <v>0</v>
      </c>
      <c r="AA55" s="472" t="s">
        <v>2043</v>
      </c>
      <c r="AB55" s="473" t="s">
        <v>119</v>
      </c>
      <c r="AC55" s="474" t="s">
        <v>119</v>
      </c>
      <c r="AD55" s="474" t="s">
        <v>119</v>
      </c>
      <c r="AE55" s="475">
        <v>9999</v>
      </c>
      <c r="AF55" s="476">
        <v>0</v>
      </c>
      <c r="AG55" s="477"/>
      <c r="AH55" s="483">
        <f ca="1">IF(TYPE(VLOOKUP(H55,Nasazení!$A$3:$E$130,5,0))&lt;4,VLOOKUP(H55,Nasazení!$A$3:$E$130,5,0),0)</f>
        <v>32</v>
      </c>
      <c r="AI55" s="478">
        <f ca="1">IF(N($AH55)&gt;0,VLOOKUP($AH55,Body!$A$4:$F$259,5,0),"")</f>
        <v>41.877062500000001</v>
      </c>
      <c r="AJ55" s="479">
        <f ca="1">IF(N($AH55)&gt;0,VLOOKUP($AH55,Body!$A$4:$F$259,6,0),"")</f>
        <v>0</v>
      </c>
      <c r="AK55" s="478">
        <f ca="1">IF(N($AH55)&gt;0,VLOOKUP($AH55,Body!$A$4:$F$259,2,0),"")</f>
        <v>1</v>
      </c>
      <c r="AL55" s="480" t="str">
        <f t="shared" ca="1" si="20"/>
        <v>45 Spolek Park Grébovka - Kremlík Miroslav</v>
      </c>
      <c r="AM55" s="481">
        <f t="shared" ca="1" si="21"/>
        <v>23.312999999999999</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4.25">
      <c r="A56" s="433">
        <f t="shared" si="12"/>
        <v>2</v>
      </c>
      <c r="B56" s="433">
        <f t="shared" ca="1" si="13"/>
        <v>1</v>
      </c>
      <c r="C56" s="433">
        <f t="shared" ca="1" si="14"/>
        <v>22.908000000000001</v>
      </c>
      <c r="D56" s="433">
        <f t="shared" ca="1" si="15"/>
        <v>10671</v>
      </c>
      <c r="E56" s="433">
        <f t="shared" si="16"/>
        <v>217</v>
      </c>
      <c r="F56" s="434" t="str">
        <f t="shared" ca="1" si="17"/>
        <v>91022908989328999782754420</v>
      </c>
      <c r="G56" s="470" t="b">
        <f t="shared" ca="1" si="18"/>
        <v>0</v>
      </c>
      <c r="H56" s="471">
        <f t="shared" si="19"/>
        <v>46</v>
      </c>
      <c r="I56" s="472">
        <v>16148</v>
      </c>
      <c r="J56" s="473" t="s">
        <v>1688</v>
      </c>
      <c r="K56" s="474" t="s">
        <v>564</v>
      </c>
      <c r="L56" s="474" t="s">
        <v>495</v>
      </c>
      <c r="M56" s="475">
        <v>455</v>
      </c>
      <c r="N56" s="476">
        <v>3.6259999999999999</v>
      </c>
      <c r="O56" s="472">
        <v>16011</v>
      </c>
      <c r="P56" s="473" t="s">
        <v>929</v>
      </c>
      <c r="Q56" s="474" t="s">
        <v>590</v>
      </c>
      <c r="R56" s="474" t="s">
        <v>495</v>
      </c>
      <c r="S56" s="475">
        <v>217</v>
      </c>
      <c r="T56" s="476">
        <v>19.282</v>
      </c>
      <c r="U56" s="472" t="s">
        <v>2043</v>
      </c>
      <c r="V56" s="473" t="s">
        <v>119</v>
      </c>
      <c r="W56" s="474" t="s">
        <v>119</v>
      </c>
      <c r="X56" s="474" t="s">
        <v>119</v>
      </c>
      <c r="Y56" s="475">
        <v>9999</v>
      </c>
      <c r="Z56" s="476">
        <v>0</v>
      </c>
      <c r="AA56" s="472" t="s">
        <v>2043</v>
      </c>
      <c r="AB56" s="473" t="s">
        <v>119</v>
      </c>
      <c r="AC56" s="474" t="s">
        <v>119</v>
      </c>
      <c r="AD56" s="474" t="s">
        <v>119</v>
      </c>
      <c r="AE56" s="475">
        <v>9999</v>
      </c>
      <c r="AF56" s="476">
        <v>0</v>
      </c>
      <c r="AG56" s="477"/>
      <c r="AH56" s="483">
        <f ca="1">IF(TYPE(VLOOKUP(H56,Nasazení!$A$3:$E$130,5,0))&lt;4,VLOOKUP(H56,Nasazení!$A$3:$E$130,5,0),0)</f>
        <v>63</v>
      </c>
      <c r="AI56" s="478">
        <f ca="1">IF(N($AH56)&gt;0,VLOOKUP($AH56,Body!$A$4:$F$259,5,0),"")</f>
        <v>1</v>
      </c>
      <c r="AJ56" s="479">
        <f ca="1">IF(N($AH56)&gt;0,VLOOKUP($AH56,Body!$A$4:$F$259,6,0),"")</f>
        <v>0</v>
      </c>
      <c r="AK56" s="478">
        <f ca="1">IF(N($AH56)&gt;0,VLOOKUP($AH56,Body!$A$4:$F$259,2,0),"")</f>
        <v>0</v>
      </c>
      <c r="AL56" s="480" t="str">
        <f t="shared" ca="1" si="20"/>
        <v>46 CdP Loděnice - Zderadička Jiří</v>
      </c>
      <c r="AM56" s="481">
        <f t="shared" ca="1" si="21"/>
        <v>22.908000000000001</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4.25">
      <c r="A57" s="433">
        <f t="shared" si="12"/>
        <v>2</v>
      </c>
      <c r="B57" s="433">
        <f t="shared" ca="1" si="13"/>
        <v>1</v>
      </c>
      <c r="C57" s="433">
        <f t="shared" ca="1" si="14"/>
        <v>21.282</v>
      </c>
      <c r="D57" s="433">
        <f t="shared" ca="1" si="15"/>
        <v>10672</v>
      </c>
      <c r="E57" s="433">
        <f t="shared" si="16"/>
        <v>324</v>
      </c>
      <c r="F57" s="434" t="str">
        <f t="shared" ca="1" si="17"/>
        <v>91021282989327999675554010</v>
      </c>
      <c r="G57" s="470" t="b">
        <f t="shared" ca="1" si="18"/>
        <v>0</v>
      </c>
      <c r="H57" s="471">
        <f t="shared" si="19"/>
        <v>47</v>
      </c>
      <c r="I57" s="472">
        <v>29052</v>
      </c>
      <c r="J57" s="473" t="s">
        <v>945</v>
      </c>
      <c r="K57" s="474" t="s">
        <v>589</v>
      </c>
      <c r="L57" s="474" t="s">
        <v>495</v>
      </c>
      <c r="M57" s="475">
        <v>324</v>
      </c>
      <c r="N57" s="476">
        <v>12.593999999999999</v>
      </c>
      <c r="O57" s="472">
        <v>29060</v>
      </c>
      <c r="P57" s="473" t="s">
        <v>672</v>
      </c>
      <c r="Q57" s="474" t="s">
        <v>1440</v>
      </c>
      <c r="R57" s="474" t="s">
        <v>495</v>
      </c>
      <c r="S57" s="475">
        <v>349</v>
      </c>
      <c r="T57" s="476">
        <v>8.6880000000000006</v>
      </c>
      <c r="U57" s="472" t="s">
        <v>2043</v>
      </c>
      <c r="V57" s="473" t="s">
        <v>119</v>
      </c>
      <c r="W57" s="474" t="s">
        <v>119</v>
      </c>
      <c r="X57" s="474" t="s">
        <v>119</v>
      </c>
      <c r="Y57" s="475">
        <v>9999</v>
      </c>
      <c r="Z57" s="476">
        <v>0</v>
      </c>
      <c r="AA57" s="472" t="s">
        <v>2043</v>
      </c>
      <c r="AB57" s="473" t="s">
        <v>119</v>
      </c>
      <c r="AC57" s="474" t="s">
        <v>119</v>
      </c>
      <c r="AD57" s="474" t="s">
        <v>119</v>
      </c>
      <c r="AE57" s="475">
        <v>9999</v>
      </c>
      <c r="AF57" s="476">
        <v>0</v>
      </c>
      <c r="AG57" s="477"/>
      <c r="AH57" s="483">
        <f ca="1">IF(TYPE(VLOOKUP(H57,Nasazení!$A$3:$E$130,5,0))&lt;4,VLOOKUP(H57,Nasazení!$A$3:$E$130,5,0),0)</f>
        <v>32</v>
      </c>
      <c r="AI57" s="478">
        <f ca="1">IF(N($AH57)&gt;0,VLOOKUP($AH57,Body!$A$4:$F$259,5,0),"")</f>
        <v>41.877062500000001</v>
      </c>
      <c r="AJ57" s="479">
        <f ca="1">IF(N($AH57)&gt;0,VLOOKUP($AH57,Body!$A$4:$F$259,6,0),"")</f>
        <v>0</v>
      </c>
      <c r="AK57" s="478">
        <f ca="1">IF(N($AH57)&gt;0,VLOOKUP($AH57,Body!$A$4:$F$259,2,0),"")</f>
        <v>1</v>
      </c>
      <c r="AL57" s="480" t="str">
        <f t="shared" ca="1" si="20"/>
        <v>47 CdP Loděnice - Paták Jan</v>
      </c>
      <c r="AM57" s="481">
        <f t="shared" ca="1" si="21"/>
        <v>21.282</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4.25">
      <c r="A58" s="433">
        <f t="shared" si="12"/>
        <v>2</v>
      </c>
      <c r="B58" s="433">
        <f t="shared" ca="1" si="13"/>
        <v>1</v>
      </c>
      <c r="C58" s="433">
        <f t="shared" ca="1" si="14"/>
        <v>21.127000000000002</v>
      </c>
      <c r="D58" s="433">
        <f t="shared" ca="1" si="15"/>
        <v>10671</v>
      </c>
      <c r="E58" s="433">
        <f t="shared" si="16"/>
        <v>199</v>
      </c>
      <c r="F58" s="434" t="str">
        <f t="shared" ca="1" si="17"/>
        <v>91021127989328999800625364</v>
      </c>
      <c r="G58" s="470" t="b">
        <f t="shared" ca="1" si="18"/>
        <v>0</v>
      </c>
      <c r="H58" s="471">
        <f t="shared" si="19"/>
        <v>48</v>
      </c>
      <c r="I58" s="472">
        <v>21805</v>
      </c>
      <c r="J58" s="473" t="s">
        <v>998</v>
      </c>
      <c r="K58" s="474" t="s">
        <v>859</v>
      </c>
      <c r="L58" s="474" t="s">
        <v>1210</v>
      </c>
      <c r="M58" s="475">
        <v>199</v>
      </c>
      <c r="N58" s="476">
        <v>16.251000000000001</v>
      </c>
      <c r="O58" s="472">
        <v>16121</v>
      </c>
      <c r="P58" s="473" t="s">
        <v>1607</v>
      </c>
      <c r="Q58" s="474" t="s">
        <v>614</v>
      </c>
      <c r="R58" s="474" t="s">
        <v>1210</v>
      </c>
      <c r="S58" s="475">
        <v>473</v>
      </c>
      <c r="T58" s="476">
        <v>4.8760000000000003</v>
      </c>
      <c r="U58" s="472" t="s">
        <v>2043</v>
      </c>
      <c r="V58" s="473" t="s">
        <v>119</v>
      </c>
      <c r="W58" s="474" t="s">
        <v>119</v>
      </c>
      <c r="X58" s="474" t="s">
        <v>119</v>
      </c>
      <c r="Y58" s="475">
        <v>9999</v>
      </c>
      <c r="Z58" s="476">
        <v>0</v>
      </c>
      <c r="AA58" s="472" t="s">
        <v>2043</v>
      </c>
      <c r="AB58" s="473" t="s">
        <v>119</v>
      </c>
      <c r="AC58" s="474" t="s">
        <v>119</v>
      </c>
      <c r="AD58" s="474" t="s">
        <v>119</v>
      </c>
      <c r="AE58" s="475">
        <v>9999</v>
      </c>
      <c r="AF58" s="476">
        <v>0</v>
      </c>
      <c r="AG58" s="477"/>
      <c r="AH58" s="483">
        <f ca="1">IF(TYPE(VLOOKUP(H58,Nasazení!$A$3:$E$130,5,0))&lt;4,VLOOKUP(H58,Nasazení!$A$3:$E$130,5,0),0)</f>
        <v>63</v>
      </c>
      <c r="AI58" s="478">
        <f ca="1">IF(N($AH58)&gt;0,VLOOKUP($AH58,Body!$A$4:$F$259,5,0),"")</f>
        <v>1</v>
      </c>
      <c r="AJ58" s="479">
        <f ca="1">IF(N($AH58)&gt;0,VLOOKUP($AH58,Body!$A$4:$F$259,6,0),"")</f>
        <v>0</v>
      </c>
      <c r="AK58" s="478">
        <f ca="1">IF(N($AH58)&gt;0,VLOOKUP($AH58,Body!$A$4:$F$259,2,0),"")</f>
        <v>0</v>
      </c>
      <c r="AL58" s="480" t="str">
        <f t="shared" ca="1" si="20"/>
        <v>48 PCP Lipník - Reinbergrová Václava</v>
      </c>
      <c r="AM58" s="481">
        <f t="shared" ca="1" si="21"/>
        <v>21.127000000000002</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4.25">
      <c r="A59" s="433">
        <f t="shared" si="12"/>
        <v>2</v>
      </c>
      <c r="B59" s="433">
        <f t="shared" ca="1" si="13"/>
        <v>1</v>
      </c>
      <c r="C59" s="433">
        <f t="shared" ca="1" si="14"/>
        <v>20.501999999999999</v>
      </c>
      <c r="D59" s="433">
        <f t="shared" ca="1" si="15"/>
        <v>10585</v>
      </c>
      <c r="E59" s="433">
        <f t="shared" si="16"/>
        <v>288</v>
      </c>
      <c r="F59" s="434" t="str">
        <f t="shared" ca="1" si="17"/>
        <v>91020502989414999711017232</v>
      </c>
      <c r="G59" s="470" t="b">
        <f t="shared" ca="1" si="18"/>
        <v>0</v>
      </c>
      <c r="H59" s="471">
        <f t="shared" si="19"/>
        <v>49</v>
      </c>
      <c r="I59" s="472">
        <v>24315</v>
      </c>
      <c r="J59" s="473" t="s">
        <v>759</v>
      </c>
      <c r="K59" s="474" t="s">
        <v>760</v>
      </c>
      <c r="L59" s="474" t="s">
        <v>491</v>
      </c>
      <c r="M59" s="475">
        <v>288</v>
      </c>
      <c r="N59" s="476">
        <v>11.500999999999999</v>
      </c>
      <c r="O59" s="472">
        <v>14057</v>
      </c>
      <c r="P59" s="473" t="s">
        <v>1493</v>
      </c>
      <c r="Q59" s="474" t="s">
        <v>541</v>
      </c>
      <c r="R59" s="474" t="s">
        <v>491</v>
      </c>
      <c r="S59" s="475">
        <v>298</v>
      </c>
      <c r="T59" s="476">
        <v>9.0009999999999994</v>
      </c>
      <c r="U59" s="472" t="s">
        <v>2043</v>
      </c>
      <c r="V59" s="473" t="s">
        <v>119</v>
      </c>
      <c r="W59" s="474" t="s">
        <v>119</v>
      </c>
      <c r="X59" s="474" t="s">
        <v>119</v>
      </c>
      <c r="Y59" s="475">
        <v>9999</v>
      </c>
      <c r="Z59" s="476">
        <v>0</v>
      </c>
      <c r="AA59" s="472" t="s">
        <v>2043</v>
      </c>
      <c r="AB59" s="473" t="s">
        <v>119</v>
      </c>
      <c r="AC59" s="474" t="s">
        <v>119</v>
      </c>
      <c r="AD59" s="474" t="s">
        <v>119</v>
      </c>
      <c r="AE59" s="475">
        <v>9999</v>
      </c>
      <c r="AF59" s="476">
        <v>0</v>
      </c>
      <c r="AG59" s="477"/>
      <c r="AH59" s="483">
        <f ca="1">IF(TYPE(VLOOKUP(H59,Nasazení!$A$3:$E$130,5,0))&lt;4,VLOOKUP(H59,Nasazení!$A$3:$E$130,5,0),0)</f>
        <v>63</v>
      </c>
      <c r="AI59" s="478">
        <f ca="1">IF(N($AH59)&gt;0,VLOOKUP($AH59,Body!$A$4:$F$259,5,0),"")</f>
        <v>1</v>
      </c>
      <c r="AJ59" s="479">
        <f ca="1">IF(N($AH59)&gt;0,VLOOKUP($AH59,Body!$A$4:$F$259,6,0),"")</f>
        <v>0</v>
      </c>
      <c r="AK59" s="478">
        <f ca="1">IF(N($AH59)&gt;0,VLOOKUP($AH59,Body!$A$4:$F$259,2,0),"")</f>
        <v>0</v>
      </c>
      <c r="AL59" s="480" t="str">
        <f t="shared" ca="1" si="20"/>
        <v>49 PEK Stolín - Hájková Dorota</v>
      </c>
      <c r="AM59" s="481">
        <f t="shared" ca="1" si="21"/>
        <v>20.501999999999999</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4.25">
      <c r="A60" s="433">
        <f t="shared" si="12"/>
        <v>2</v>
      </c>
      <c r="B60" s="433">
        <f t="shared" ca="1" si="13"/>
        <v>1</v>
      </c>
      <c r="C60" s="433">
        <f t="shared" ca="1" si="14"/>
        <v>18.718</v>
      </c>
      <c r="D60" s="433">
        <f t="shared" ca="1" si="15"/>
        <v>10818</v>
      </c>
      <c r="E60" s="433">
        <f t="shared" si="16"/>
        <v>397</v>
      </c>
      <c r="F60" s="434" t="str">
        <f t="shared" ca="1" si="17"/>
        <v>91018718989181999602526727</v>
      </c>
      <c r="G60" s="470" t="b">
        <f t="shared" ca="1" si="18"/>
        <v>0</v>
      </c>
      <c r="H60" s="471">
        <f t="shared" si="19"/>
        <v>50</v>
      </c>
      <c r="I60" s="472">
        <v>96162</v>
      </c>
      <c r="J60" s="473" t="s">
        <v>693</v>
      </c>
      <c r="K60" s="474" t="s">
        <v>595</v>
      </c>
      <c r="L60" s="474" t="s">
        <v>1218</v>
      </c>
      <c r="M60" s="475">
        <v>397</v>
      </c>
      <c r="N60" s="476">
        <v>10.109</v>
      </c>
      <c r="O60" s="472">
        <v>96163</v>
      </c>
      <c r="P60" s="473" t="s">
        <v>694</v>
      </c>
      <c r="Q60" s="474" t="s">
        <v>695</v>
      </c>
      <c r="R60" s="474" t="s">
        <v>1218</v>
      </c>
      <c r="S60" s="475">
        <v>422</v>
      </c>
      <c r="T60" s="476">
        <v>8.609</v>
      </c>
      <c r="U60" s="472" t="s">
        <v>2043</v>
      </c>
      <c r="V60" s="473" t="s">
        <v>119</v>
      </c>
      <c r="W60" s="474" t="s">
        <v>119</v>
      </c>
      <c r="X60" s="474" t="s">
        <v>119</v>
      </c>
      <c r="Y60" s="475">
        <v>9999</v>
      </c>
      <c r="Z60" s="476">
        <v>0</v>
      </c>
      <c r="AA60" s="472" t="s">
        <v>2043</v>
      </c>
      <c r="AB60" s="473" t="s">
        <v>119</v>
      </c>
      <c r="AC60" s="474" t="s">
        <v>119</v>
      </c>
      <c r="AD60" s="474" t="s">
        <v>119</v>
      </c>
      <c r="AE60" s="475">
        <v>9999</v>
      </c>
      <c r="AF60" s="476">
        <v>0</v>
      </c>
      <c r="AG60" s="477"/>
      <c r="AH60" s="483">
        <f ca="1">IF(TYPE(VLOOKUP(H60,Nasazení!$A$3:$E$130,5,0))&lt;4,VLOOKUP(H60,Nasazení!$A$3:$E$130,5,0),0)</f>
        <v>63</v>
      </c>
      <c r="AI60" s="478">
        <f ca="1">IF(N($AH60)&gt;0,VLOOKUP($AH60,Body!$A$4:$F$259,5,0),"")</f>
        <v>1</v>
      </c>
      <c r="AJ60" s="479">
        <f ca="1">IF(N($AH60)&gt;0,VLOOKUP($AH60,Body!$A$4:$F$259,6,0),"")</f>
        <v>0</v>
      </c>
      <c r="AK60" s="478">
        <f ca="1">IF(N($AH60)&gt;0,VLOOKUP($AH60,Body!$A$4:$F$259,2,0),"")</f>
        <v>0</v>
      </c>
      <c r="AL60" s="480" t="str">
        <f t="shared" ca="1" si="20"/>
        <v>50 C.T.P. Club Ořech - Glaser Vladimír</v>
      </c>
      <c r="AM60" s="481">
        <f t="shared" ca="1" si="21"/>
        <v>18.718</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ca="1" si="22"/>
        <v>0</v>
      </c>
      <c r="BF60" s="411">
        <f t="shared" si="11"/>
        <v>50</v>
      </c>
    </row>
    <row r="61" spans="1:58" ht="14.25">
      <c r="A61" s="433">
        <f t="shared" si="12"/>
        <v>2</v>
      </c>
      <c r="B61" s="433">
        <f t="shared" ca="1" si="13"/>
        <v>1</v>
      </c>
      <c r="C61" s="433">
        <f t="shared" ca="1" si="14"/>
        <v>16.518000000000001</v>
      </c>
      <c r="D61" s="433">
        <f t="shared" ca="1" si="15"/>
        <v>10669</v>
      </c>
      <c r="E61" s="433">
        <f t="shared" si="16"/>
        <v>310</v>
      </c>
      <c r="F61" s="434" t="str">
        <f t="shared" ca="1" si="17"/>
        <v>91016518989330999689192523</v>
      </c>
      <c r="G61" s="470" t="b">
        <f t="shared" ca="1" si="18"/>
        <v>0</v>
      </c>
      <c r="H61" s="471">
        <f t="shared" si="19"/>
        <v>51</v>
      </c>
      <c r="I61" s="472">
        <v>15032</v>
      </c>
      <c r="J61" s="473" t="s">
        <v>1445</v>
      </c>
      <c r="K61" s="474" t="s">
        <v>736</v>
      </c>
      <c r="L61" s="474" t="s">
        <v>576</v>
      </c>
      <c r="M61" s="475">
        <v>360</v>
      </c>
      <c r="N61" s="476">
        <v>7.556</v>
      </c>
      <c r="O61" s="472">
        <v>15031</v>
      </c>
      <c r="P61" s="473" t="s">
        <v>1446</v>
      </c>
      <c r="Q61" s="474" t="s">
        <v>777</v>
      </c>
      <c r="R61" s="474" t="s">
        <v>576</v>
      </c>
      <c r="S61" s="475">
        <v>310</v>
      </c>
      <c r="T61" s="476">
        <v>8.9619999999999997</v>
      </c>
      <c r="U61" s="472" t="s">
        <v>2043</v>
      </c>
      <c r="V61" s="473" t="s">
        <v>119</v>
      </c>
      <c r="W61" s="474" t="s">
        <v>119</v>
      </c>
      <c r="X61" s="474" t="s">
        <v>119</v>
      </c>
      <c r="Y61" s="475">
        <v>9999</v>
      </c>
      <c r="Z61" s="476">
        <v>0</v>
      </c>
      <c r="AA61" s="472" t="s">
        <v>2043</v>
      </c>
      <c r="AB61" s="473" t="s">
        <v>119</v>
      </c>
      <c r="AC61" s="474" t="s">
        <v>119</v>
      </c>
      <c r="AD61" s="474" t="s">
        <v>119</v>
      </c>
      <c r="AE61" s="475">
        <v>9999</v>
      </c>
      <c r="AF61" s="476">
        <v>0</v>
      </c>
      <c r="AG61" s="477"/>
      <c r="AH61" s="483">
        <f ca="1">IF(TYPE(VLOOKUP(H61,Nasazení!$A$3:$E$130,5,0))&lt;4,VLOOKUP(H61,Nasazení!$A$3:$E$130,5,0),0)</f>
        <v>63</v>
      </c>
      <c r="AI61" s="478">
        <f ca="1">IF(N($AH61)&gt;0,VLOOKUP($AH61,Body!$A$4:$F$259,5,0),"")</f>
        <v>1</v>
      </c>
      <c r="AJ61" s="479">
        <f ca="1">IF(N($AH61)&gt;0,VLOOKUP($AH61,Body!$A$4:$F$259,6,0),"")</f>
        <v>0</v>
      </c>
      <c r="AK61" s="478">
        <f ca="1">IF(N($AH61)&gt;0,VLOOKUP($AH61,Body!$A$4:$F$259,2,0),"")</f>
        <v>0</v>
      </c>
      <c r="AL61" s="480" t="str">
        <f t="shared" ca="1" si="20"/>
        <v>51 SKP Kulová osma - Fára Jindřich</v>
      </c>
      <c r="AM61" s="481">
        <f t="shared" ca="1" si="21"/>
        <v>16.518000000000001</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ca="1" si="22"/>
        <v>0</v>
      </c>
      <c r="BF61" s="411">
        <f t="shared" si="11"/>
        <v>51</v>
      </c>
    </row>
    <row r="62" spans="1:58" ht="14.25">
      <c r="A62" s="433">
        <f t="shared" si="12"/>
        <v>2</v>
      </c>
      <c r="B62" s="433">
        <f t="shared" ca="1" si="13"/>
        <v>1</v>
      </c>
      <c r="C62" s="433">
        <f t="shared" ca="1" si="14"/>
        <v>16.282</v>
      </c>
      <c r="D62" s="433">
        <f t="shared" ca="1" si="15"/>
        <v>10779</v>
      </c>
      <c r="E62" s="433">
        <f t="shared" si="16"/>
        <v>266</v>
      </c>
      <c r="F62" s="434" t="str">
        <f t="shared" ca="1" si="17"/>
        <v>91016282989220999733590280</v>
      </c>
      <c r="G62" s="470" t="b">
        <f t="shared" ca="1" si="18"/>
        <v>0</v>
      </c>
      <c r="H62" s="471">
        <f t="shared" si="19"/>
        <v>52</v>
      </c>
      <c r="I62" s="472">
        <v>13083</v>
      </c>
      <c r="J62" s="473" t="s">
        <v>1497</v>
      </c>
      <c r="K62" s="474" t="s">
        <v>564</v>
      </c>
      <c r="L62" s="474" t="s">
        <v>495</v>
      </c>
      <c r="M62" s="475">
        <v>266</v>
      </c>
      <c r="N62" s="476">
        <v>12.718999999999999</v>
      </c>
      <c r="O62" s="472">
        <v>29053</v>
      </c>
      <c r="P62" s="473" t="s">
        <v>755</v>
      </c>
      <c r="Q62" s="474" t="s">
        <v>572</v>
      </c>
      <c r="R62" s="474" t="s">
        <v>495</v>
      </c>
      <c r="S62" s="475">
        <v>514</v>
      </c>
      <c r="T62" s="476">
        <v>3.5630000000000002</v>
      </c>
      <c r="U62" s="472" t="s">
        <v>2043</v>
      </c>
      <c r="V62" s="473" t="s">
        <v>119</v>
      </c>
      <c r="W62" s="474" t="s">
        <v>119</v>
      </c>
      <c r="X62" s="474" t="s">
        <v>119</v>
      </c>
      <c r="Y62" s="475">
        <v>9999</v>
      </c>
      <c r="Z62" s="476">
        <v>0</v>
      </c>
      <c r="AA62" s="472" t="s">
        <v>2043</v>
      </c>
      <c r="AB62" s="473" t="s">
        <v>119</v>
      </c>
      <c r="AC62" s="474" t="s">
        <v>119</v>
      </c>
      <c r="AD62" s="474" t="s">
        <v>119</v>
      </c>
      <c r="AE62" s="475">
        <v>9999</v>
      </c>
      <c r="AF62" s="476">
        <v>0</v>
      </c>
      <c r="AG62" s="477"/>
      <c r="AH62" s="483">
        <f ca="1">IF(TYPE(VLOOKUP(H62,Nasazení!$A$3:$E$130,5,0))&lt;4,VLOOKUP(H62,Nasazení!$A$3:$E$130,5,0),0)</f>
        <v>32</v>
      </c>
      <c r="AI62" s="478">
        <f ca="1">IF(N($AH62)&gt;0,VLOOKUP($AH62,Body!$A$4:$F$259,5,0),"")</f>
        <v>41.877062500000001</v>
      </c>
      <c r="AJ62" s="479">
        <f ca="1">IF(N($AH62)&gt;0,VLOOKUP($AH62,Body!$A$4:$F$259,6,0),"")</f>
        <v>0</v>
      </c>
      <c r="AK62" s="478">
        <f ca="1">IF(N($AH62)&gt;0,VLOOKUP($AH62,Body!$A$4:$F$259,2,0),"")</f>
        <v>1</v>
      </c>
      <c r="AL62" s="480" t="str">
        <f t="shared" ca="1" si="20"/>
        <v>52 CdP Loděnice - Janoš Jiří</v>
      </c>
      <c r="AM62" s="481">
        <f t="shared" ca="1" si="21"/>
        <v>16.282</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ca="1" si="22"/>
        <v>0</v>
      </c>
      <c r="BF62" s="411">
        <f t="shared" si="11"/>
        <v>52</v>
      </c>
    </row>
    <row r="63" spans="1:58" ht="14.25">
      <c r="A63" s="433">
        <f t="shared" si="12"/>
        <v>2</v>
      </c>
      <c r="B63" s="433">
        <f t="shared" ca="1" si="13"/>
        <v>1</v>
      </c>
      <c r="C63" s="433">
        <f t="shared" ca="1" si="14"/>
        <v>14.905999999999999</v>
      </c>
      <c r="D63" s="433">
        <f t="shared" ca="1" si="15"/>
        <v>10708</v>
      </c>
      <c r="E63" s="433">
        <f t="shared" si="16"/>
        <v>302</v>
      </c>
      <c r="F63" s="434" t="str">
        <f t="shared" ca="1" si="17"/>
        <v>91014906989291999697203287</v>
      </c>
      <c r="G63" s="470" t="b">
        <f t="shared" ca="1" si="18"/>
        <v>0</v>
      </c>
      <c r="H63" s="471">
        <f t="shared" si="19"/>
        <v>53</v>
      </c>
      <c r="I63" s="472">
        <v>97294</v>
      </c>
      <c r="J63" s="473" t="s">
        <v>1103</v>
      </c>
      <c r="K63" s="474" t="s">
        <v>572</v>
      </c>
      <c r="L63" s="474" t="s">
        <v>156</v>
      </c>
      <c r="M63" s="475">
        <v>407</v>
      </c>
      <c r="N63" s="476">
        <v>6.0780000000000003</v>
      </c>
      <c r="O63" s="472">
        <v>97291</v>
      </c>
      <c r="P63" s="473" t="s">
        <v>824</v>
      </c>
      <c r="Q63" s="474" t="s">
        <v>572</v>
      </c>
      <c r="R63" s="474" t="s">
        <v>156</v>
      </c>
      <c r="S63" s="475">
        <v>302</v>
      </c>
      <c r="T63" s="476">
        <v>8.8279999999999994</v>
      </c>
      <c r="U63" s="472" t="s">
        <v>2043</v>
      </c>
      <c r="V63" s="473" t="s">
        <v>119</v>
      </c>
      <c r="W63" s="474" t="s">
        <v>119</v>
      </c>
      <c r="X63" s="474" t="s">
        <v>119</v>
      </c>
      <c r="Y63" s="475">
        <v>9999</v>
      </c>
      <c r="Z63" s="476">
        <v>0</v>
      </c>
      <c r="AA63" s="472" t="s">
        <v>2043</v>
      </c>
      <c r="AB63" s="473" t="s">
        <v>119</v>
      </c>
      <c r="AC63" s="474" t="s">
        <v>119</v>
      </c>
      <c r="AD63" s="474" t="s">
        <v>119</v>
      </c>
      <c r="AE63" s="475">
        <v>9999</v>
      </c>
      <c r="AF63" s="476">
        <v>0</v>
      </c>
      <c r="AG63" s="477"/>
      <c r="AH63" s="483">
        <f ca="1">IF(TYPE(VLOOKUP(H63,Nasazení!$A$3:$E$130,5,0))&lt;4,VLOOKUP(H63,Nasazení!$A$3:$E$130,5,0),0)</f>
        <v>32</v>
      </c>
      <c r="AI63" s="478">
        <f ca="1">IF(N($AH63)&gt;0,VLOOKUP($AH63,Body!$A$4:$F$259,5,0),"")</f>
        <v>41.877062500000001</v>
      </c>
      <c r="AJ63" s="479">
        <f ca="1">IF(N($AH63)&gt;0,VLOOKUP($AH63,Body!$A$4:$F$259,6,0),"")</f>
        <v>0</v>
      </c>
      <c r="AK63" s="478">
        <f ca="1">IF(N($AH63)&gt;0,VLOOKUP($AH63,Body!$A$4:$F$259,2,0),"")</f>
        <v>1</v>
      </c>
      <c r="AL63" s="480" t="str">
        <f t="shared" ca="1" si="20"/>
        <v>53 CP VARY - Šimek Petr</v>
      </c>
      <c r="AM63" s="481">
        <f t="shared" ca="1" si="21"/>
        <v>14.905999999999999</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ca="1" si="22"/>
        <v>0</v>
      </c>
      <c r="BF63" s="411">
        <f t="shared" si="11"/>
        <v>53</v>
      </c>
    </row>
    <row r="64" spans="1:58" ht="14.25">
      <c r="A64" s="433">
        <f t="shared" si="12"/>
        <v>2</v>
      </c>
      <c r="B64" s="433">
        <f t="shared" ca="1" si="13"/>
        <v>1</v>
      </c>
      <c r="C64" s="433">
        <f t="shared" ca="1" si="14"/>
        <v>14.471</v>
      </c>
      <c r="D64" s="433">
        <f t="shared" ca="1" si="15"/>
        <v>20209</v>
      </c>
      <c r="E64" s="403">
        <f t="shared" si="16"/>
        <v>211</v>
      </c>
      <c r="F64" s="434" t="str">
        <f t="shared" ca="1" si="17"/>
        <v>91014471979790999788679962</v>
      </c>
      <c r="G64" s="470" t="b">
        <f t="shared" ca="1" si="18"/>
        <v>0</v>
      </c>
      <c r="H64" s="471">
        <f t="shared" si="19"/>
        <v>54</v>
      </c>
      <c r="I64" s="472">
        <v>15087</v>
      </c>
      <c r="J64" s="473" t="s">
        <v>1427</v>
      </c>
      <c r="K64" s="474" t="s">
        <v>967</v>
      </c>
      <c r="L64" s="474" t="s">
        <v>1210</v>
      </c>
      <c r="M64" s="475">
        <v>211</v>
      </c>
      <c r="N64" s="476">
        <v>14.471</v>
      </c>
      <c r="O64" s="472" t="s">
        <v>2043</v>
      </c>
      <c r="P64" s="473" t="s">
        <v>2000</v>
      </c>
      <c r="Q64" s="474" t="s">
        <v>119</v>
      </c>
      <c r="R64" s="474" t="s">
        <v>119</v>
      </c>
      <c r="S64" s="475">
        <v>9999</v>
      </c>
      <c r="T64" s="476">
        <v>0</v>
      </c>
      <c r="U64" s="472" t="s">
        <v>2043</v>
      </c>
      <c r="V64" s="473" t="s">
        <v>119</v>
      </c>
      <c r="W64" s="474" t="s">
        <v>119</v>
      </c>
      <c r="X64" s="474" t="s">
        <v>119</v>
      </c>
      <c r="Y64" s="475">
        <v>9999</v>
      </c>
      <c r="Z64" s="476">
        <v>0</v>
      </c>
      <c r="AA64" s="472" t="s">
        <v>2043</v>
      </c>
      <c r="AB64" s="473" t="s">
        <v>119</v>
      </c>
      <c r="AC64" s="474" t="s">
        <v>119</v>
      </c>
      <c r="AD64" s="474" t="s">
        <v>119</v>
      </c>
      <c r="AE64" s="475">
        <v>9999</v>
      </c>
      <c r="AF64" s="476">
        <v>0</v>
      </c>
      <c r="AG64" s="477"/>
      <c r="AH64" s="483">
        <f ca="1">IF(TYPE(VLOOKUP(H64,Nasazení!$A$3:$E$130,5,0))&lt;4,VLOOKUP(H64,Nasazení!$A$3:$E$130,5,0),0)</f>
        <v>32</v>
      </c>
      <c r="AI64" s="478">
        <f ca="1">IF(N($AH64)&gt;0,VLOOKUP($AH64,Body!$A$4:$F$259,5,0),"")</f>
        <v>41.877062500000001</v>
      </c>
      <c r="AJ64" s="479">
        <f ca="1">IF(N($AH64)&gt;0,VLOOKUP($AH64,Body!$A$4:$F$259,6,0),"")</f>
        <v>0</v>
      </c>
      <c r="AK64" s="478">
        <f ca="1">IF(N($AH64)&gt;0,VLOOKUP($AH64,Body!$A$4:$F$259,2,0),"")</f>
        <v>1</v>
      </c>
      <c r="AL64" s="480" t="str">
        <f t="shared" ca="1" si="20"/>
        <v>54 PCP Lipník - Doubrava Antonín</v>
      </c>
      <c r="AM64" s="481">
        <f t="shared" ca="1" si="21"/>
        <v>14.471</v>
      </c>
      <c r="AN64" s="411">
        <f ca="1">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ca="1" si="22"/>
        <v>0</v>
      </c>
      <c r="BF64" s="411">
        <f t="shared" si="11"/>
        <v>54</v>
      </c>
    </row>
    <row r="65" spans="1:58" ht="14.25">
      <c r="A65" s="433">
        <f t="shared" si="12"/>
        <v>2</v>
      </c>
      <c r="B65" s="433">
        <f t="shared" ca="1" si="13"/>
        <v>1</v>
      </c>
      <c r="C65" s="433">
        <f t="shared" ca="1" si="14"/>
        <v>12.345000000000001</v>
      </c>
      <c r="D65" s="433">
        <f t="shared" ca="1" si="15"/>
        <v>20278</v>
      </c>
      <c r="E65" s="433">
        <f t="shared" si="16"/>
        <v>280</v>
      </c>
      <c r="F65" s="434" t="str">
        <f t="shared" ca="1" si="17"/>
        <v>91012345979721999719758733</v>
      </c>
      <c r="G65" s="470" t="b">
        <f t="shared" ca="1" si="18"/>
        <v>0</v>
      </c>
      <c r="H65" s="471">
        <f t="shared" si="19"/>
        <v>55</v>
      </c>
      <c r="I65" s="472">
        <v>16001</v>
      </c>
      <c r="J65" s="473" t="s">
        <v>911</v>
      </c>
      <c r="K65" s="474" t="s">
        <v>612</v>
      </c>
      <c r="L65" s="474" t="s">
        <v>1210</v>
      </c>
      <c r="M65" s="475">
        <v>280</v>
      </c>
      <c r="N65" s="476">
        <v>12.345000000000001</v>
      </c>
      <c r="O65" s="472" t="s">
        <v>2043</v>
      </c>
      <c r="P65" s="473" t="s">
        <v>2004</v>
      </c>
      <c r="Q65" s="474" t="s">
        <v>119</v>
      </c>
      <c r="R65" s="474" t="s">
        <v>119</v>
      </c>
      <c r="S65" s="475">
        <v>9999</v>
      </c>
      <c r="T65" s="476">
        <v>0</v>
      </c>
      <c r="U65" s="472" t="s">
        <v>2043</v>
      </c>
      <c r="V65" s="473" t="s">
        <v>119</v>
      </c>
      <c r="W65" s="474" t="s">
        <v>119</v>
      </c>
      <c r="X65" s="474" t="s">
        <v>119</v>
      </c>
      <c r="Y65" s="475">
        <v>9999</v>
      </c>
      <c r="Z65" s="476">
        <v>0</v>
      </c>
      <c r="AA65" s="472" t="s">
        <v>2043</v>
      </c>
      <c r="AB65" s="473" t="s">
        <v>119</v>
      </c>
      <c r="AC65" s="474" t="s">
        <v>119</v>
      </c>
      <c r="AD65" s="474" t="s">
        <v>119</v>
      </c>
      <c r="AE65" s="475">
        <v>9999</v>
      </c>
      <c r="AF65" s="476">
        <v>0</v>
      </c>
      <c r="AG65" s="477"/>
      <c r="AH65" s="483">
        <f ca="1">IF(TYPE(VLOOKUP(H65,Nasazení!$A$3:$E$130,5,0))&lt;4,VLOOKUP(H65,Nasazení!$A$3:$E$130,5,0),0)</f>
        <v>32</v>
      </c>
      <c r="AI65" s="478">
        <f ca="1">IF(N($AH65)&gt;0,VLOOKUP($AH65,Body!$A$4:$F$259,5,0),"")</f>
        <v>41.877062500000001</v>
      </c>
      <c r="AJ65" s="479">
        <f ca="1">IF(N($AH65)&gt;0,VLOOKUP($AH65,Body!$A$4:$F$259,6,0),"")</f>
        <v>0</v>
      </c>
      <c r="AK65" s="478">
        <f ca="1">IF(N($AH65)&gt;0,VLOOKUP($AH65,Body!$A$4:$F$259,2,0),"")</f>
        <v>1</v>
      </c>
      <c r="AL65" s="480" t="str">
        <f t="shared" ca="1" si="20"/>
        <v>55 PCP Lipník - Moucha Luboš</v>
      </c>
      <c r="AM65" s="481">
        <f t="shared" ca="1" si="21"/>
        <v>12.345000000000001</v>
      </c>
      <c r="AN65" s="411">
        <f ca="1">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ca="1" si="22"/>
        <v>0</v>
      </c>
      <c r="BF65" s="411">
        <f t="shared" si="11"/>
        <v>55</v>
      </c>
    </row>
    <row r="66" spans="1:58" ht="14.25">
      <c r="A66" s="433">
        <f t="shared" si="12"/>
        <v>2</v>
      </c>
      <c r="B66" s="433">
        <f t="shared" ca="1" si="13"/>
        <v>1</v>
      </c>
      <c r="C66" s="433">
        <f t="shared" ca="1" si="14"/>
        <v>11.222000000000001</v>
      </c>
      <c r="D66" s="433">
        <f t="shared" ca="1" si="15"/>
        <v>10851</v>
      </c>
      <c r="E66" s="403">
        <f t="shared" si="16"/>
        <v>381</v>
      </c>
      <c r="F66" s="434" t="str">
        <f t="shared" ca="1" si="17"/>
        <v>91011222989148999618251645</v>
      </c>
      <c r="G66" s="470" t="b">
        <f t="shared" ca="1" si="18"/>
        <v>0</v>
      </c>
      <c r="H66" s="471">
        <f t="shared" si="19"/>
        <v>56</v>
      </c>
      <c r="I66" s="472">
        <v>16095</v>
      </c>
      <c r="J66" s="473" t="s">
        <v>1645</v>
      </c>
      <c r="K66" s="474" t="s">
        <v>579</v>
      </c>
      <c r="L66" s="474" t="s">
        <v>1419</v>
      </c>
      <c r="M66" s="475">
        <v>381</v>
      </c>
      <c r="N66" s="476">
        <v>7.2050000000000001</v>
      </c>
      <c r="O66" s="472">
        <v>16079</v>
      </c>
      <c r="P66" s="473" t="s">
        <v>1524</v>
      </c>
      <c r="Q66" s="474" t="s">
        <v>1525</v>
      </c>
      <c r="R66" s="474" t="s">
        <v>1419</v>
      </c>
      <c r="S66" s="475">
        <v>471</v>
      </c>
      <c r="T66" s="476">
        <v>4.0170000000000003</v>
      </c>
      <c r="U66" s="472" t="s">
        <v>2043</v>
      </c>
      <c r="V66" s="473" t="s">
        <v>119</v>
      </c>
      <c r="W66" s="474" t="s">
        <v>119</v>
      </c>
      <c r="X66" s="474" t="s">
        <v>119</v>
      </c>
      <c r="Y66" s="475">
        <v>9999</v>
      </c>
      <c r="Z66" s="476">
        <v>0</v>
      </c>
      <c r="AA66" s="472" t="s">
        <v>2043</v>
      </c>
      <c r="AB66" s="473" t="s">
        <v>119</v>
      </c>
      <c r="AC66" s="474" t="s">
        <v>119</v>
      </c>
      <c r="AD66" s="474" t="s">
        <v>119</v>
      </c>
      <c r="AE66" s="475">
        <v>9999</v>
      </c>
      <c r="AF66" s="476">
        <v>0</v>
      </c>
      <c r="AG66" s="477"/>
      <c r="AH66" s="483">
        <f ca="1">IF(TYPE(VLOOKUP(H66,Nasazení!$A$3:$E$130,5,0))&lt;4,VLOOKUP(H66,Nasazení!$A$3:$E$130,5,0),0)</f>
        <v>63</v>
      </c>
      <c r="AI66" s="478">
        <f ca="1">IF(N($AH66)&gt;0,VLOOKUP($AH66,Body!$A$4:$F$259,5,0),"")</f>
        <v>1</v>
      </c>
      <c r="AJ66" s="479">
        <f ca="1">IF(N($AH66)&gt;0,VLOOKUP($AH66,Body!$A$4:$F$259,6,0),"")</f>
        <v>0</v>
      </c>
      <c r="AK66" s="478">
        <f ca="1">IF(N($AH66)&gt;0,VLOOKUP($AH66,Body!$A$4:$F$259,2,0),"")</f>
        <v>0</v>
      </c>
      <c r="AL66" s="480" t="str">
        <f t="shared" ca="1" si="20"/>
        <v>56 SK Španielka Řepy - Szitányiová Mária</v>
      </c>
      <c r="AM66" s="481">
        <f t="shared" ca="1" si="21"/>
        <v>11.222000000000001</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ca="1" si="22"/>
        <v>0</v>
      </c>
      <c r="BF66" s="411">
        <f t="shared" si="11"/>
        <v>56</v>
      </c>
    </row>
    <row r="67" spans="1:58" ht="14.25">
      <c r="A67" s="433">
        <f t="shared" si="12"/>
        <v>2</v>
      </c>
      <c r="B67" s="433">
        <f t="shared" ca="1" si="13"/>
        <v>1</v>
      </c>
      <c r="C67" s="433">
        <f t="shared" ca="1" si="14"/>
        <v>9.8689999999999998</v>
      </c>
      <c r="D67" s="433">
        <f t="shared" ca="1" si="15"/>
        <v>10785</v>
      </c>
      <c r="E67" s="433">
        <f t="shared" si="16"/>
        <v>386</v>
      </c>
      <c r="F67" s="434" t="str">
        <f t="shared" ca="1" si="17"/>
        <v>91009869989214999613515477</v>
      </c>
      <c r="G67" s="470" t="b">
        <f t="shared" ca="1" si="18"/>
        <v>0</v>
      </c>
      <c r="H67" s="471">
        <f t="shared" si="19"/>
        <v>57</v>
      </c>
      <c r="I67" s="472">
        <v>14097</v>
      </c>
      <c r="J67" s="473" t="s">
        <v>1552</v>
      </c>
      <c r="K67" s="474" t="s">
        <v>720</v>
      </c>
      <c r="L67" s="474" t="s">
        <v>1388</v>
      </c>
      <c r="M67" s="475">
        <v>400</v>
      </c>
      <c r="N67" s="476">
        <v>4.8369999999999997</v>
      </c>
      <c r="O67" s="472">
        <v>16052</v>
      </c>
      <c r="P67" s="473" t="s">
        <v>1538</v>
      </c>
      <c r="Q67" s="474" t="s">
        <v>1539</v>
      </c>
      <c r="R67" s="474" t="s">
        <v>1388</v>
      </c>
      <c r="S67" s="475">
        <v>386</v>
      </c>
      <c r="T67" s="476">
        <v>5.032</v>
      </c>
      <c r="U67" s="472" t="s">
        <v>2043</v>
      </c>
      <c r="V67" s="473" t="s">
        <v>119</v>
      </c>
      <c r="W67" s="474" t="s">
        <v>119</v>
      </c>
      <c r="X67" s="474" t="s">
        <v>119</v>
      </c>
      <c r="Y67" s="475">
        <v>9999</v>
      </c>
      <c r="Z67" s="476">
        <v>0</v>
      </c>
      <c r="AA67" s="472" t="s">
        <v>2043</v>
      </c>
      <c r="AB67" s="473" t="s">
        <v>119</v>
      </c>
      <c r="AC67" s="474" t="s">
        <v>119</v>
      </c>
      <c r="AD67" s="474" t="s">
        <v>119</v>
      </c>
      <c r="AE67" s="475">
        <v>9999</v>
      </c>
      <c r="AF67" s="476">
        <v>0</v>
      </c>
      <c r="AG67" s="477"/>
      <c r="AH67" s="483">
        <f ca="1">IF(TYPE(VLOOKUP(H67,Nasazení!$A$3:$E$130,5,0))&lt;4,VLOOKUP(H67,Nasazení!$A$3:$E$130,5,0),0)</f>
        <v>63</v>
      </c>
      <c r="AI67" s="478">
        <f ca="1">IF(N($AH67)&gt;0,VLOOKUP($AH67,Body!$A$4:$F$259,5,0),"")</f>
        <v>1</v>
      </c>
      <c r="AJ67" s="479">
        <f ca="1">IF(N($AH67)&gt;0,VLOOKUP($AH67,Body!$A$4:$F$259,6,0),"")</f>
        <v>0</v>
      </c>
      <c r="AK67" s="478">
        <f ca="1">IF(N($AH67)&gt;0,VLOOKUP($AH67,Body!$A$4:$F$259,2,0),"")</f>
        <v>0</v>
      </c>
      <c r="AL67" s="480" t="str">
        <f t="shared" ca="1" si="20"/>
        <v>57 Orel Řečkovice - Leistnerová Lucie</v>
      </c>
      <c r="AM67" s="481">
        <f t="shared" ca="1" si="21"/>
        <v>9.8689999999999998</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ca="1" si="22"/>
        <v>0</v>
      </c>
      <c r="BF67" s="411">
        <f t="shared" si="11"/>
        <v>57</v>
      </c>
    </row>
    <row r="68" spans="1:58" ht="14.25">
      <c r="A68" s="433">
        <f t="shared" si="12"/>
        <v>2</v>
      </c>
      <c r="B68" s="433">
        <f t="shared" ca="1" si="13"/>
        <v>1</v>
      </c>
      <c r="C68" s="433">
        <f t="shared" ca="1" si="14"/>
        <v>8.9480000000000004</v>
      </c>
      <c r="D68" s="433">
        <f t="shared" ca="1" si="15"/>
        <v>10968</v>
      </c>
      <c r="E68" s="433">
        <f t="shared" si="16"/>
        <v>348</v>
      </c>
      <c r="F68" s="434" t="str">
        <f t="shared" ca="1" si="17"/>
        <v>91008948989031999651119775</v>
      </c>
      <c r="G68" s="470" t="b">
        <f t="shared" ca="1" si="18"/>
        <v>0</v>
      </c>
      <c r="H68" s="471">
        <f t="shared" si="19"/>
        <v>58</v>
      </c>
      <c r="I68" s="472">
        <v>12036</v>
      </c>
      <c r="J68" s="473" t="s">
        <v>948</v>
      </c>
      <c r="K68" s="474" t="s">
        <v>551</v>
      </c>
      <c r="L68" s="474" t="s">
        <v>576</v>
      </c>
      <c r="M68" s="475">
        <v>348</v>
      </c>
      <c r="N68" s="476">
        <v>7.4470000000000001</v>
      </c>
      <c r="O68" s="472">
        <v>17051</v>
      </c>
      <c r="P68" s="473" t="s">
        <v>1502</v>
      </c>
      <c r="Q68" s="474" t="s">
        <v>621</v>
      </c>
      <c r="R68" s="474" t="s">
        <v>576</v>
      </c>
      <c r="S68" s="475">
        <v>621</v>
      </c>
      <c r="T68" s="476">
        <v>1.5009999999999999</v>
      </c>
      <c r="U68" s="472" t="s">
        <v>2043</v>
      </c>
      <c r="V68" s="473" t="s">
        <v>119</v>
      </c>
      <c r="W68" s="474" t="s">
        <v>119</v>
      </c>
      <c r="X68" s="474" t="s">
        <v>119</v>
      </c>
      <c r="Y68" s="475">
        <v>9999</v>
      </c>
      <c r="Z68" s="476">
        <v>0</v>
      </c>
      <c r="AA68" s="472" t="s">
        <v>2043</v>
      </c>
      <c r="AB68" s="473" t="s">
        <v>119</v>
      </c>
      <c r="AC68" s="474" t="s">
        <v>119</v>
      </c>
      <c r="AD68" s="474" t="s">
        <v>119</v>
      </c>
      <c r="AE68" s="475">
        <v>9999</v>
      </c>
      <c r="AF68" s="476">
        <v>0</v>
      </c>
      <c r="AG68" s="477"/>
      <c r="AH68" s="483">
        <f ca="1">IF(TYPE(VLOOKUP(H68,Nasazení!$A$3:$E$130,5,0))&lt;4,VLOOKUP(H68,Nasazení!$A$3:$E$130,5,0),0)</f>
        <v>63</v>
      </c>
      <c r="AI68" s="478">
        <f ca="1">IF(N($AH68)&gt;0,VLOOKUP($AH68,Body!$A$4:$F$259,5,0),"")</f>
        <v>1</v>
      </c>
      <c r="AJ68" s="479">
        <f ca="1">IF(N($AH68)&gt;0,VLOOKUP($AH68,Body!$A$4:$F$259,6,0),"")</f>
        <v>0</v>
      </c>
      <c r="AK68" s="478">
        <f ca="1">IF(N($AH68)&gt;0,VLOOKUP($AH68,Body!$A$4:$F$259,2,0),"")</f>
        <v>0</v>
      </c>
      <c r="AL68" s="480" t="str">
        <f t="shared" ca="1" si="20"/>
        <v>58 SKP Kulová osma - Pavýza Milan</v>
      </c>
      <c r="AM68" s="481">
        <f t="shared" ca="1" si="21"/>
        <v>8.9480000000000004</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ca="1" si="22"/>
        <v>0</v>
      </c>
      <c r="BF68" s="411">
        <f t="shared" si="11"/>
        <v>58</v>
      </c>
    </row>
    <row r="69" spans="1:58" ht="14.25">
      <c r="A69" s="433">
        <f t="shared" si="12"/>
        <v>2</v>
      </c>
      <c r="B69" s="433">
        <f t="shared" ca="1" si="13"/>
        <v>1</v>
      </c>
      <c r="C69" s="433">
        <f t="shared" ca="1" si="14"/>
        <v>4.75</v>
      </c>
      <c r="D69" s="433">
        <f t="shared" ca="1" si="15"/>
        <v>20506</v>
      </c>
      <c r="E69" s="433">
        <f t="shared" si="16"/>
        <v>508</v>
      </c>
      <c r="F69" s="434" t="str">
        <f t="shared" ca="1" si="17"/>
        <v>91004750979493999491396306</v>
      </c>
      <c r="G69" s="470" t="b">
        <f t="shared" ca="1" si="18"/>
        <v>0</v>
      </c>
      <c r="H69" s="471">
        <f t="shared" si="19"/>
        <v>59</v>
      </c>
      <c r="I69" s="472">
        <v>97290</v>
      </c>
      <c r="J69" s="473" t="s">
        <v>687</v>
      </c>
      <c r="K69" s="474" t="s">
        <v>564</v>
      </c>
      <c r="L69" s="474" t="s">
        <v>156</v>
      </c>
      <c r="M69" s="475">
        <v>508</v>
      </c>
      <c r="N69" s="476">
        <v>4.75</v>
      </c>
      <c r="O69" s="472" t="s">
        <v>2043</v>
      </c>
      <c r="P69" s="473" t="s">
        <v>2023</v>
      </c>
      <c r="Q69" s="474" t="s">
        <v>119</v>
      </c>
      <c r="R69" s="474" t="s">
        <v>119</v>
      </c>
      <c r="S69" s="475">
        <v>9999</v>
      </c>
      <c r="T69" s="476">
        <v>0</v>
      </c>
      <c r="U69" s="472" t="s">
        <v>2043</v>
      </c>
      <c r="V69" s="473" t="s">
        <v>119</v>
      </c>
      <c r="W69" s="474" t="s">
        <v>119</v>
      </c>
      <c r="X69" s="474" t="s">
        <v>119</v>
      </c>
      <c r="Y69" s="475">
        <v>9999</v>
      </c>
      <c r="Z69" s="476">
        <v>0</v>
      </c>
      <c r="AA69" s="472" t="s">
        <v>2043</v>
      </c>
      <c r="AB69" s="473" t="s">
        <v>119</v>
      </c>
      <c r="AC69" s="474" t="s">
        <v>119</v>
      </c>
      <c r="AD69" s="474" t="s">
        <v>119</v>
      </c>
      <c r="AE69" s="475">
        <v>9999</v>
      </c>
      <c r="AF69" s="476">
        <v>0</v>
      </c>
      <c r="AG69" s="477"/>
      <c r="AH69" s="483">
        <f ca="1">IF(TYPE(VLOOKUP(H69,Nasazení!$A$3:$E$130,5,0))&lt;4,VLOOKUP(H69,Nasazení!$A$3:$E$130,5,0),0)</f>
        <v>63</v>
      </c>
      <c r="AI69" s="478">
        <f ca="1">IF(N($AH69)&gt;0,VLOOKUP($AH69,Body!$A$4:$F$259,5,0),"")</f>
        <v>1</v>
      </c>
      <c r="AJ69" s="479">
        <f ca="1">IF(N($AH69)&gt;0,VLOOKUP($AH69,Body!$A$4:$F$259,6,0),"")</f>
        <v>0</v>
      </c>
      <c r="AK69" s="478">
        <f ca="1">IF(N($AH69)&gt;0,VLOOKUP($AH69,Body!$A$4:$F$259,2,0),"")</f>
        <v>0</v>
      </c>
      <c r="AL69" s="480" t="str">
        <f t="shared" ca="1" si="20"/>
        <v>59 CP VARY - Fürst Jiří</v>
      </c>
      <c r="AM69" s="481">
        <f t="shared" ca="1" si="21"/>
        <v>4.75</v>
      </c>
      <c r="AN69" s="411">
        <f ca="1">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ca="1" si="22"/>
        <v>0</v>
      </c>
      <c r="BF69" s="411">
        <f t="shared" si="11"/>
        <v>59</v>
      </c>
    </row>
    <row r="70" spans="1:58" ht="14.25">
      <c r="A70" s="433">
        <f t="shared" si="12"/>
        <v>2</v>
      </c>
      <c r="B70" s="433">
        <f t="shared" ca="1" si="13"/>
        <v>1</v>
      </c>
      <c r="C70" s="433">
        <f t="shared" ca="1" si="14"/>
        <v>2.9990000000000001</v>
      </c>
      <c r="D70" s="433">
        <f t="shared" ca="1" si="15"/>
        <v>11135</v>
      </c>
      <c r="E70" s="433">
        <f t="shared" si="16"/>
        <v>501</v>
      </c>
      <c r="F70" s="434" t="str">
        <f t="shared" ca="1" si="17"/>
        <v>91002999988864999498962949</v>
      </c>
      <c r="G70" s="470" t="b">
        <f t="shared" ca="1" si="18"/>
        <v>0</v>
      </c>
      <c r="H70" s="471">
        <f t="shared" si="19"/>
        <v>60</v>
      </c>
      <c r="I70" s="472">
        <v>25016</v>
      </c>
      <c r="J70" s="473" t="s">
        <v>990</v>
      </c>
      <c r="K70" s="474" t="s">
        <v>552</v>
      </c>
      <c r="L70" s="474" t="s">
        <v>1203</v>
      </c>
      <c r="M70" s="475">
        <v>501</v>
      </c>
      <c r="N70" s="476">
        <v>2.0150000000000001</v>
      </c>
      <c r="O70" s="472">
        <v>29021</v>
      </c>
      <c r="P70" s="473" t="s">
        <v>991</v>
      </c>
      <c r="Q70" s="474" t="s">
        <v>555</v>
      </c>
      <c r="R70" s="474" t="s">
        <v>1203</v>
      </c>
      <c r="S70" s="475">
        <v>635</v>
      </c>
      <c r="T70" s="476">
        <v>0.98399999999999999</v>
      </c>
      <c r="U70" s="472" t="s">
        <v>2043</v>
      </c>
      <c r="V70" s="473" t="s">
        <v>119</v>
      </c>
      <c r="W70" s="474" t="s">
        <v>119</v>
      </c>
      <c r="X70" s="474" t="s">
        <v>119</v>
      </c>
      <c r="Y70" s="475">
        <v>9999</v>
      </c>
      <c r="Z70" s="476">
        <v>0</v>
      </c>
      <c r="AA70" s="472" t="s">
        <v>2043</v>
      </c>
      <c r="AB70" s="473" t="s">
        <v>119</v>
      </c>
      <c r="AC70" s="474" t="s">
        <v>119</v>
      </c>
      <c r="AD70" s="474" t="s">
        <v>119</v>
      </c>
      <c r="AE70" s="475">
        <v>9999</v>
      </c>
      <c r="AF70" s="476">
        <v>0</v>
      </c>
      <c r="AG70" s="477"/>
      <c r="AH70" s="483">
        <f ca="1">IF(TYPE(VLOOKUP(H70,Nasazení!$A$3:$E$130,5,0))&lt;4,VLOOKUP(H70,Nasazení!$A$3:$E$130,5,0),0)</f>
        <v>63</v>
      </c>
      <c r="AI70" s="478">
        <f ca="1">IF(N($AH70)&gt;0,VLOOKUP($AH70,Body!$A$4:$F$259,5,0),"")</f>
        <v>1</v>
      </c>
      <c r="AJ70" s="479">
        <f ca="1">IF(N($AH70)&gt;0,VLOOKUP($AH70,Body!$A$4:$F$259,6,0),"")</f>
        <v>0</v>
      </c>
      <c r="AK70" s="478">
        <f ca="1">IF(N($AH70)&gt;0,VLOOKUP($AH70,Body!$A$4:$F$259,2,0),"")</f>
        <v>0</v>
      </c>
      <c r="AL70" s="480" t="str">
        <f t="shared" ca="1" si="20"/>
        <v>60 PK Osika Plzeň - Přibyl Miroslav</v>
      </c>
      <c r="AM70" s="481">
        <f t="shared" ca="1" si="21"/>
        <v>2.9990000000000001</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ca="1" si="22"/>
        <v>0</v>
      </c>
      <c r="BF70" s="411">
        <f t="shared" si="11"/>
        <v>60</v>
      </c>
    </row>
    <row r="71" spans="1:58" ht="14.25">
      <c r="A71" s="433">
        <f t="shared" si="12"/>
        <v>2</v>
      </c>
      <c r="B71" s="433">
        <f t="shared" ca="1" si="13"/>
        <v>1</v>
      </c>
      <c r="C71" s="433">
        <f t="shared" ca="1" si="14"/>
        <v>2.375</v>
      </c>
      <c r="D71" s="433">
        <f t="shared" ca="1" si="15"/>
        <v>11235</v>
      </c>
      <c r="E71" s="433">
        <f t="shared" si="16"/>
        <v>584</v>
      </c>
      <c r="F71" s="434" t="str">
        <f t="shared" ca="1" si="17"/>
        <v>91002375988764999415888270</v>
      </c>
      <c r="G71" s="470" t="b">
        <f t="shared" ca="1" si="18"/>
        <v>0</v>
      </c>
      <c r="H71" s="471">
        <f t="shared" si="19"/>
        <v>61</v>
      </c>
      <c r="I71" s="472">
        <v>16084</v>
      </c>
      <c r="J71" s="473" t="s">
        <v>1606</v>
      </c>
      <c r="K71" s="474" t="s">
        <v>551</v>
      </c>
      <c r="L71" s="474" t="s">
        <v>1419</v>
      </c>
      <c r="M71" s="475">
        <v>652</v>
      </c>
      <c r="N71" s="476">
        <v>0.68700000000000006</v>
      </c>
      <c r="O71" s="472">
        <v>16041</v>
      </c>
      <c r="P71" s="473" t="s">
        <v>1544</v>
      </c>
      <c r="Q71" s="474" t="s">
        <v>636</v>
      </c>
      <c r="R71" s="474" t="s">
        <v>1200</v>
      </c>
      <c r="S71" s="475">
        <v>584</v>
      </c>
      <c r="T71" s="476">
        <v>1.6879999999999999</v>
      </c>
      <c r="U71" s="472" t="s">
        <v>2043</v>
      </c>
      <c r="V71" s="473" t="s">
        <v>119</v>
      </c>
      <c r="W71" s="474" t="s">
        <v>119</v>
      </c>
      <c r="X71" s="474" t="s">
        <v>119</v>
      </c>
      <c r="Y71" s="475">
        <v>9999</v>
      </c>
      <c r="Z71" s="476">
        <v>0</v>
      </c>
      <c r="AA71" s="472" t="s">
        <v>2043</v>
      </c>
      <c r="AB71" s="473" t="s">
        <v>119</v>
      </c>
      <c r="AC71" s="474" t="s">
        <v>119</v>
      </c>
      <c r="AD71" s="474" t="s">
        <v>119</v>
      </c>
      <c r="AE71" s="475">
        <v>9999</v>
      </c>
      <c r="AF71" s="476">
        <v>0</v>
      </c>
      <c r="AG71" s="477"/>
      <c r="AH71" s="483">
        <f ca="1">IF(TYPE(VLOOKUP(H71,Nasazení!$A$3:$E$130,5,0))&lt;4,VLOOKUP(H71,Nasazení!$A$3:$E$130,5,0),0)</f>
        <v>63</v>
      </c>
      <c r="AI71" s="478">
        <f ca="1">IF(N($AH71)&gt;0,VLOOKUP($AH71,Body!$A$4:$F$259,5,0),"")</f>
        <v>1</v>
      </c>
      <c r="AJ71" s="479">
        <f ca="1">IF(N($AH71)&gt;0,VLOOKUP($AH71,Body!$A$4:$F$259,6,0),"")</f>
        <v>0</v>
      </c>
      <c r="AK71" s="478">
        <f ca="1">IF(N($AH71)&gt;0,VLOOKUP($AH71,Body!$A$4:$F$259,2,0),"")</f>
        <v>0</v>
      </c>
      <c r="AL71" s="480" t="str">
        <f t="shared" ca="1" si="20"/>
        <v>61 SK Španielka Řepy - Prajer Milan</v>
      </c>
      <c r="AM71" s="481">
        <f t="shared" ca="1" si="21"/>
        <v>2.375</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ca="1" si="22"/>
        <v>0</v>
      </c>
      <c r="BF71" s="411">
        <f t="shared" si="11"/>
        <v>61</v>
      </c>
    </row>
    <row r="72" spans="1:58" ht="14.25">
      <c r="A72" s="433">
        <f t="shared" si="12"/>
        <v>2</v>
      </c>
      <c r="B72" s="433">
        <f t="shared" ca="1" si="13"/>
        <v>1</v>
      </c>
      <c r="C72" s="433">
        <f t="shared" ca="1" si="14"/>
        <v>0.81299999999999994</v>
      </c>
      <c r="D72" s="433">
        <f t="shared" ca="1" si="15"/>
        <v>20646</v>
      </c>
      <c r="E72" s="433">
        <f t="shared" si="16"/>
        <v>648</v>
      </c>
      <c r="F72" s="434" t="str">
        <f t="shared" ca="1" si="17"/>
        <v>91000813979353999351980306</v>
      </c>
      <c r="G72" s="470" t="b">
        <f t="shared" ca="1" si="18"/>
        <v>0</v>
      </c>
      <c r="H72" s="471">
        <f t="shared" si="19"/>
        <v>62</v>
      </c>
      <c r="I72" s="472">
        <v>12060</v>
      </c>
      <c r="J72" s="473" t="s">
        <v>975</v>
      </c>
      <c r="K72" s="474" t="s">
        <v>684</v>
      </c>
      <c r="L72" s="474" t="s">
        <v>495</v>
      </c>
      <c r="M72" s="475">
        <v>648</v>
      </c>
      <c r="N72" s="476">
        <v>0.81299999999999994</v>
      </c>
      <c r="O72" s="472" t="s">
        <v>2043</v>
      </c>
      <c r="P72" s="473" t="s">
        <v>2038</v>
      </c>
      <c r="Q72" s="474" t="s">
        <v>119</v>
      </c>
      <c r="R72" s="474" t="s">
        <v>119</v>
      </c>
      <c r="S72" s="475">
        <v>9999</v>
      </c>
      <c r="T72" s="476">
        <v>0</v>
      </c>
      <c r="U72" s="472" t="s">
        <v>2043</v>
      </c>
      <c r="V72" s="473" t="s">
        <v>119</v>
      </c>
      <c r="W72" s="474" t="s">
        <v>119</v>
      </c>
      <c r="X72" s="474" t="s">
        <v>119</v>
      </c>
      <c r="Y72" s="475">
        <v>9999</v>
      </c>
      <c r="Z72" s="476">
        <v>0</v>
      </c>
      <c r="AA72" s="472" t="s">
        <v>2043</v>
      </c>
      <c r="AB72" s="473" t="s">
        <v>119</v>
      </c>
      <c r="AC72" s="474" t="s">
        <v>119</v>
      </c>
      <c r="AD72" s="474" t="s">
        <v>119</v>
      </c>
      <c r="AE72" s="475">
        <v>9999</v>
      </c>
      <c r="AF72" s="476">
        <v>0</v>
      </c>
      <c r="AG72" s="477"/>
      <c r="AH72" s="483">
        <f ca="1">IF(TYPE(VLOOKUP(H72,Nasazení!$A$3:$E$130,5,0))&lt;4,VLOOKUP(H72,Nasazení!$A$3:$E$130,5,0),0)</f>
        <v>13</v>
      </c>
      <c r="AI72" s="478">
        <f ca="1">IF(N($AH72)&gt;0,VLOOKUP($AH72,Body!$A$4:$F$259,5,0),"")</f>
        <v>99.458023437500003</v>
      </c>
      <c r="AJ72" s="479">
        <f ca="1">IF(N($AH72)&gt;0,VLOOKUP($AH72,Body!$A$4:$F$259,6,0),"")</f>
        <v>0</v>
      </c>
      <c r="AK72" s="478">
        <f ca="1">IF(N($AH72)&gt;0,VLOOKUP($AH72,Body!$A$4:$F$259,2,0),"")</f>
        <v>2.375</v>
      </c>
      <c r="AL72" s="480" t="str">
        <f t="shared" ca="1" si="20"/>
        <v>62 CdP Loděnice - Pospíšilová Šárka</v>
      </c>
      <c r="AM72" s="481">
        <f t="shared" ca="1" si="21"/>
        <v>0.81299999999999994</v>
      </c>
      <c r="AN72" s="411">
        <f ca="1">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ca="1" si="22"/>
        <v>0</v>
      </c>
      <c r="BF72" s="411">
        <f t="shared" si="11"/>
        <v>62</v>
      </c>
    </row>
    <row r="73" spans="1:58" ht="14.25">
      <c r="A73" s="433">
        <f t="shared" si="12"/>
        <v>2</v>
      </c>
      <c r="B73" s="433">
        <f t="shared" ca="1" si="13"/>
        <v>1</v>
      </c>
      <c r="C73" s="433">
        <f t="shared" ca="1" si="14"/>
        <v>0.28100000000000003</v>
      </c>
      <c r="D73" s="433">
        <f t="shared" ca="1" si="15"/>
        <v>11447</v>
      </c>
      <c r="E73" s="433">
        <f t="shared" si="16"/>
        <v>689</v>
      </c>
      <c r="F73" s="434" t="str">
        <f t="shared" ca="1" si="17"/>
        <v>91000281988552999310048923</v>
      </c>
      <c r="G73" s="470" t="b">
        <f t="shared" ca="1" si="18"/>
        <v>0</v>
      </c>
      <c r="H73" s="471">
        <f t="shared" si="19"/>
        <v>63</v>
      </c>
      <c r="I73" s="472">
        <v>16081</v>
      </c>
      <c r="J73" s="473" t="s">
        <v>1587</v>
      </c>
      <c r="K73" s="474" t="s">
        <v>625</v>
      </c>
      <c r="L73" s="474" t="s">
        <v>1419</v>
      </c>
      <c r="M73" s="475">
        <v>689</v>
      </c>
      <c r="N73" s="476">
        <v>0.28100000000000003</v>
      </c>
      <c r="O73" s="472">
        <v>17010</v>
      </c>
      <c r="P73" s="473" t="s">
        <v>1488</v>
      </c>
      <c r="Q73" s="474" t="s">
        <v>645</v>
      </c>
      <c r="R73" s="474" t="s">
        <v>1419</v>
      </c>
      <c r="S73" s="475">
        <v>759</v>
      </c>
      <c r="T73" s="476">
        <v>0</v>
      </c>
      <c r="U73" s="472" t="s">
        <v>2043</v>
      </c>
      <c r="V73" s="473" t="s">
        <v>119</v>
      </c>
      <c r="W73" s="474" t="s">
        <v>119</v>
      </c>
      <c r="X73" s="474" t="s">
        <v>119</v>
      </c>
      <c r="Y73" s="475">
        <v>9999</v>
      </c>
      <c r="Z73" s="476">
        <v>0</v>
      </c>
      <c r="AA73" s="472" t="s">
        <v>2043</v>
      </c>
      <c r="AB73" s="473" t="s">
        <v>119</v>
      </c>
      <c r="AC73" s="474" t="s">
        <v>119</v>
      </c>
      <c r="AD73" s="474" t="s">
        <v>119</v>
      </c>
      <c r="AE73" s="475">
        <v>9999</v>
      </c>
      <c r="AF73" s="476">
        <v>0</v>
      </c>
      <c r="AG73" s="477"/>
      <c r="AH73" s="483">
        <f ca="1">IF(TYPE(VLOOKUP(H73,Nasazení!$A$3:$E$130,5,0))&lt;4,VLOOKUP(H73,Nasazení!$A$3:$E$130,5,0),0)</f>
        <v>63</v>
      </c>
      <c r="AI73" s="478">
        <f ca="1">IF(N($AH73)&gt;0,VLOOKUP($AH73,Body!$A$4:$F$259,5,0),"")</f>
        <v>1</v>
      </c>
      <c r="AJ73" s="479">
        <f ca="1">IF(N($AH73)&gt;0,VLOOKUP($AH73,Body!$A$4:$F$259,6,0),"")</f>
        <v>0</v>
      </c>
      <c r="AK73" s="478">
        <f ca="1">IF(N($AH73)&gt;0,VLOOKUP($AH73,Body!$A$4:$F$259,2,0),"")</f>
        <v>0</v>
      </c>
      <c r="AL73" s="480" t="str">
        <f t="shared" ca="1" si="20"/>
        <v>63 SK Španielka Řepy - Novotná Marie</v>
      </c>
      <c r="AM73" s="481">
        <f t="shared" ca="1" si="21"/>
        <v>0.28100000000000003</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ca="1" si="22"/>
        <v>0</v>
      </c>
      <c r="BF73" s="411">
        <f t="shared" si="11"/>
        <v>63</v>
      </c>
    </row>
    <row r="74" spans="1:58" ht="14.25">
      <c r="A74" s="433">
        <f t="shared" si="12"/>
        <v>0</v>
      </c>
      <c r="B74" s="433">
        <f t="shared" si="13"/>
        <v>0</v>
      </c>
      <c r="C74" s="433">
        <f t="shared" si="14"/>
        <v>0</v>
      </c>
      <c r="D74" s="433">
        <f t="shared" si="15"/>
        <v>99999</v>
      </c>
      <c r="E74" s="433">
        <f t="shared" si="16"/>
        <v>9999</v>
      </c>
      <c r="F74" s="434" t="str">
        <f t="shared" ca="1" si="17"/>
        <v>90000000900000990000702386</v>
      </c>
      <c r="G74" s="470" t="b">
        <f t="shared" si="18"/>
        <v>1</v>
      </c>
      <c r="H74" s="471">
        <f t="shared" si="19"/>
        <v>64</v>
      </c>
      <c r="I74" s="472" t="s">
        <v>2043</v>
      </c>
      <c r="J74" s="473" t="s">
        <v>119</v>
      </c>
      <c r="K74" s="474" t="s">
        <v>119</v>
      </c>
      <c r="L74" s="474" t="s">
        <v>119</v>
      </c>
      <c r="M74" s="475">
        <v>9999</v>
      </c>
      <c r="N74" s="476">
        <v>0</v>
      </c>
      <c r="O74" s="472" t="s">
        <v>2043</v>
      </c>
      <c r="P74" s="473" t="s">
        <v>119</v>
      </c>
      <c r="Q74" s="474" t="s">
        <v>119</v>
      </c>
      <c r="R74" s="474" t="s">
        <v>119</v>
      </c>
      <c r="S74" s="475">
        <v>9999</v>
      </c>
      <c r="T74" s="476">
        <v>0</v>
      </c>
      <c r="U74" s="472" t="s">
        <v>2043</v>
      </c>
      <c r="V74" s="473" t="s">
        <v>119</v>
      </c>
      <c r="W74" s="474" t="s">
        <v>119</v>
      </c>
      <c r="X74" s="474" t="s">
        <v>119</v>
      </c>
      <c r="Y74" s="475">
        <v>9999</v>
      </c>
      <c r="Z74" s="476">
        <v>0</v>
      </c>
      <c r="AA74" s="472" t="s">
        <v>2043</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90000000900000990000486356</v>
      </c>
      <c r="G75" s="470" t="b">
        <f t="shared" ref="G75:G106" si="29">IF(OR($K$6&gt;A75,AR75&gt;0),TRUE,FALSE)</f>
        <v>1</v>
      </c>
      <c r="H75" s="471">
        <f t="shared" ref="H75:H106" si="30">ROW(H75)-10</f>
        <v>65</v>
      </c>
      <c r="I75" s="472" t="s">
        <v>2043</v>
      </c>
      <c r="J75" s="473" t="s">
        <v>119</v>
      </c>
      <c r="K75" s="474" t="s">
        <v>119</v>
      </c>
      <c r="L75" s="474" t="s">
        <v>119</v>
      </c>
      <c r="M75" s="475">
        <v>9999</v>
      </c>
      <c r="N75" s="476">
        <v>0</v>
      </c>
      <c r="O75" s="472" t="s">
        <v>2043</v>
      </c>
      <c r="P75" s="473" t="s">
        <v>119</v>
      </c>
      <c r="Q75" s="474" t="s">
        <v>119</v>
      </c>
      <c r="R75" s="474" t="s">
        <v>119</v>
      </c>
      <c r="S75" s="475">
        <v>9999</v>
      </c>
      <c r="T75" s="476">
        <v>0</v>
      </c>
      <c r="U75" s="472" t="s">
        <v>2043</v>
      </c>
      <c r="V75" s="473" t="s">
        <v>119</v>
      </c>
      <c r="W75" s="474" t="s">
        <v>119</v>
      </c>
      <c r="X75" s="474" t="s">
        <v>119</v>
      </c>
      <c r="Y75" s="475">
        <v>9999</v>
      </c>
      <c r="Z75" s="476">
        <v>0</v>
      </c>
      <c r="AA75" s="472" t="s">
        <v>2043</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90000000900000990000543797</v>
      </c>
      <c r="G76" s="470" t="b">
        <f t="shared" si="29"/>
        <v>1</v>
      </c>
      <c r="H76" s="471">
        <f t="shared" si="30"/>
        <v>66</v>
      </c>
      <c r="I76" s="472" t="s">
        <v>2043</v>
      </c>
      <c r="J76" s="473" t="s">
        <v>119</v>
      </c>
      <c r="K76" s="474" t="s">
        <v>119</v>
      </c>
      <c r="L76" s="474" t="s">
        <v>119</v>
      </c>
      <c r="M76" s="475">
        <v>9999</v>
      </c>
      <c r="N76" s="476">
        <v>0</v>
      </c>
      <c r="O76" s="472" t="s">
        <v>2043</v>
      </c>
      <c r="P76" s="473" t="s">
        <v>119</v>
      </c>
      <c r="Q76" s="474" t="s">
        <v>119</v>
      </c>
      <c r="R76" s="474" t="s">
        <v>119</v>
      </c>
      <c r="S76" s="475">
        <v>9999</v>
      </c>
      <c r="T76" s="476">
        <v>0</v>
      </c>
      <c r="U76" s="472" t="s">
        <v>2043</v>
      </c>
      <c r="V76" s="473" t="s">
        <v>119</v>
      </c>
      <c r="W76" s="474" t="s">
        <v>119</v>
      </c>
      <c r="X76" s="474" t="s">
        <v>119</v>
      </c>
      <c r="Y76" s="475">
        <v>9999</v>
      </c>
      <c r="Z76" s="476">
        <v>0</v>
      </c>
      <c r="AA76" s="472" t="s">
        <v>2043</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75">
        <f t="shared" si="26"/>
        <v>99999</v>
      </c>
      <c r="E77" s="433">
        <f t="shared" si="27"/>
        <v>9999</v>
      </c>
      <c r="F77" s="434" t="str">
        <f t="shared" ca="1" si="28"/>
        <v>90000000900000990000920859</v>
      </c>
      <c r="G77" s="470" t="b">
        <f t="shared" si="29"/>
        <v>1</v>
      </c>
      <c r="H77" s="471">
        <f t="shared" si="30"/>
        <v>67</v>
      </c>
      <c r="I77" s="472" t="s">
        <v>2043</v>
      </c>
      <c r="J77" s="473" t="s">
        <v>119</v>
      </c>
      <c r="K77" s="474" t="s">
        <v>119</v>
      </c>
      <c r="L77" s="474" t="s">
        <v>119</v>
      </c>
      <c r="M77" s="475">
        <v>9999</v>
      </c>
      <c r="N77" s="476">
        <v>0</v>
      </c>
      <c r="O77" s="472" t="s">
        <v>2043</v>
      </c>
      <c r="P77" s="473" t="s">
        <v>119</v>
      </c>
      <c r="Q77" s="474" t="s">
        <v>119</v>
      </c>
      <c r="R77" s="474" t="s">
        <v>119</v>
      </c>
      <c r="S77" s="475">
        <v>9999</v>
      </c>
      <c r="T77" s="476">
        <v>0</v>
      </c>
      <c r="U77" s="472" t="s">
        <v>2043</v>
      </c>
      <c r="V77" s="473" t="s">
        <v>119</v>
      </c>
      <c r="W77" s="474" t="s">
        <v>119</v>
      </c>
      <c r="X77" s="474" t="s">
        <v>119</v>
      </c>
      <c r="Y77" s="475">
        <v>9999</v>
      </c>
      <c r="Z77" s="476">
        <v>0</v>
      </c>
      <c r="AA77" s="472" t="s">
        <v>2043</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90000000900000990000311076</v>
      </c>
      <c r="G78" s="470" t="b">
        <f t="shared" si="29"/>
        <v>1</v>
      </c>
      <c r="H78" s="471">
        <f t="shared" si="30"/>
        <v>68</v>
      </c>
      <c r="I78" s="472" t="s">
        <v>2043</v>
      </c>
      <c r="J78" s="473" t="s">
        <v>119</v>
      </c>
      <c r="K78" s="474" t="s">
        <v>119</v>
      </c>
      <c r="L78" s="474" t="s">
        <v>119</v>
      </c>
      <c r="M78" s="475">
        <v>9999</v>
      </c>
      <c r="N78" s="476">
        <v>0</v>
      </c>
      <c r="O78" s="472" t="s">
        <v>2043</v>
      </c>
      <c r="P78" s="473" t="s">
        <v>119</v>
      </c>
      <c r="Q78" s="474" t="s">
        <v>119</v>
      </c>
      <c r="R78" s="474" t="s">
        <v>119</v>
      </c>
      <c r="S78" s="475">
        <v>9999</v>
      </c>
      <c r="T78" s="476">
        <v>0</v>
      </c>
      <c r="U78" s="472" t="s">
        <v>2043</v>
      </c>
      <c r="V78" s="473" t="s">
        <v>119</v>
      </c>
      <c r="W78" s="474" t="s">
        <v>119</v>
      </c>
      <c r="X78" s="474" t="s">
        <v>119</v>
      </c>
      <c r="Y78" s="475">
        <v>9999</v>
      </c>
      <c r="Z78" s="476">
        <v>0</v>
      </c>
      <c r="AA78" s="472" t="s">
        <v>2043</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90000000900000990000674681</v>
      </c>
      <c r="G79" s="470" t="b">
        <f t="shared" si="29"/>
        <v>1</v>
      </c>
      <c r="H79" s="471">
        <f t="shared" si="30"/>
        <v>69</v>
      </c>
      <c r="I79" s="472" t="s">
        <v>2043</v>
      </c>
      <c r="J79" s="473" t="s">
        <v>119</v>
      </c>
      <c r="K79" s="474" t="s">
        <v>119</v>
      </c>
      <c r="L79" s="474" t="s">
        <v>119</v>
      </c>
      <c r="M79" s="475">
        <v>9999</v>
      </c>
      <c r="N79" s="476">
        <v>0</v>
      </c>
      <c r="O79" s="472" t="s">
        <v>2043</v>
      </c>
      <c r="P79" s="473" t="s">
        <v>119</v>
      </c>
      <c r="Q79" s="474" t="s">
        <v>119</v>
      </c>
      <c r="R79" s="474" t="s">
        <v>119</v>
      </c>
      <c r="S79" s="475">
        <v>9999</v>
      </c>
      <c r="T79" s="476">
        <v>0</v>
      </c>
      <c r="U79" s="472" t="s">
        <v>2043</v>
      </c>
      <c r="V79" s="473" t="s">
        <v>119</v>
      </c>
      <c r="W79" s="474" t="s">
        <v>119</v>
      </c>
      <c r="X79" s="474" t="s">
        <v>119</v>
      </c>
      <c r="Y79" s="475">
        <v>9999</v>
      </c>
      <c r="Z79" s="476">
        <v>0</v>
      </c>
      <c r="AA79" s="472" t="s">
        <v>2043</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90000000900000990000958063</v>
      </c>
      <c r="G80" s="470" t="b">
        <f t="shared" si="29"/>
        <v>1</v>
      </c>
      <c r="H80" s="471">
        <f t="shared" si="30"/>
        <v>70</v>
      </c>
      <c r="I80" s="472" t="s">
        <v>2043</v>
      </c>
      <c r="J80" s="473" t="s">
        <v>119</v>
      </c>
      <c r="K80" s="474" t="s">
        <v>119</v>
      </c>
      <c r="L80" s="474" t="s">
        <v>119</v>
      </c>
      <c r="M80" s="475">
        <v>9999</v>
      </c>
      <c r="N80" s="476">
        <v>0</v>
      </c>
      <c r="O80" s="472" t="s">
        <v>2043</v>
      </c>
      <c r="P80" s="473" t="s">
        <v>119</v>
      </c>
      <c r="Q80" s="474" t="s">
        <v>119</v>
      </c>
      <c r="R80" s="474" t="s">
        <v>119</v>
      </c>
      <c r="S80" s="475">
        <v>9999</v>
      </c>
      <c r="T80" s="476">
        <v>0</v>
      </c>
      <c r="U80" s="472" t="s">
        <v>2043</v>
      </c>
      <c r="V80" s="473" t="s">
        <v>119</v>
      </c>
      <c r="W80" s="474" t="s">
        <v>119</v>
      </c>
      <c r="X80" s="474" t="s">
        <v>119</v>
      </c>
      <c r="Y80" s="475">
        <v>9999</v>
      </c>
      <c r="Z80" s="476">
        <v>0</v>
      </c>
      <c r="AA80" s="472" t="s">
        <v>2043</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90000000900000990000097048</v>
      </c>
      <c r="G81" s="470" t="b">
        <f t="shared" si="29"/>
        <v>1</v>
      </c>
      <c r="H81" s="471">
        <f t="shared" si="30"/>
        <v>71</v>
      </c>
      <c r="I81" s="472" t="s">
        <v>2043</v>
      </c>
      <c r="J81" s="473" t="s">
        <v>119</v>
      </c>
      <c r="K81" s="474" t="s">
        <v>119</v>
      </c>
      <c r="L81" s="474" t="s">
        <v>119</v>
      </c>
      <c r="M81" s="475">
        <v>9999</v>
      </c>
      <c r="N81" s="476">
        <v>0</v>
      </c>
      <c r="O81" s="472" t="s">
        <v>2043</v>
      </c>
      <c r="P81" s="473" t="s">
        <v>119</v>
      </c>
      <c r="Q81" s="474" t="s">
        <v>119</v>
      </c>
      <c r="R81" s="474" t="s">
        <v>119</v>
      </c>
      <c r="S81" s="475">
        <v>9999</v>
      </c>
      <c r="T81" s="476">
        <v>0</v>
      </c>
      <c r="U81" s="472" t="s">
        <v>2043</v>
      </c>
      <c r="V81" s="473" t="s">
        <v>119</v>
      </c>
      <c r="W81" s="474" t="s">
        <v>119</v>
      </c>
      <c r="X81" s="474" t="s">
        <v>119</v>
      </c>
      <c r="Y81" s="475">
        <v>9999</v>
      </c>
      <c r="Z81" s="476">
        <v>0</v>
      </c>
      <c r="AA81" s="472" t="s">
        <v>2043</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90000000900000990000492414</v>
      </c>
      <c r="G82" s="470" t="b">
        <f t="shared" si="29"/>
        <v>1</v>
      </c>
      <c r="H82" s="471">
        <f t="shared" si="30"/>
        <v>72</v>
      </c>
      <c r="I82" s="472" t="s">
        <v>2043</v>
      </c>
      <c r="J82" s="473" t="s">
        <v>119</v>
      </c>
      <c r="K82" s="474" t="s">
        <v>119</v>
      </c>
      <c r="L82" s="474" t="s">
        <v>119</v>
      </c>
      <c r="M82" s="475">
        <v>9999</v>
      </c>
      <c r="N82" s="476">
        <v>0</v>
      </c>
      <c r="O82" s="472" t="s">
        <v>2043</v>
      </c>
      <c r="P82" s="473" t="s">
        <v>119</v>
      </c>
      <c r="Q82" s="474" t="s">
        <v>119</v>
      </c>
      <c r="R82" s="474" t="s">
        <v>119</v>
      </c>
      <c r="S82" s="475">
        <v>9999</v>
      </c>
      <c r="T82" s="476">
        <v>0</v>
      </c>
      <c r="U82" s="472" t="s">
        <v>2043</v>
      </c>
      <c r="V82" s="473" t="s">
        <v>119</v>
      </c>
      <c r="W82" s="474" t="s">
        <v>119</v>
      </c>
      <c r="X82" s="474" t="s">
        <v>119</v>
      </c>
      <c r="Y82" s="475">
        <v>9999</v>
      </c>
      <c r="Z82" s="476">
        <v>0</v>
      </c>
      <c r="AA82" s="472" t="s">
        <v>2043</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90000000900000990000909318</v>
      </c>
      <c r="G83" s="470" t="b">
        <f t="shared" si="29"/>
        <v>1</v>
      </c>
      <c r="H83" s="471">
        <f t="shared" si="30"/>
        <v>73</v>
      </c>
      <c r="I83" s="472" t="s">
        <v>2043</v>
      </c>
      <c r="J83" s="473" t="s">
        <v>119</v>
      </c>
      <c r="K83" s="474" t="s">
        <v>119</v>
      </c>
      <c r="L83" s="474" t="s">
        <v>119</v>
      </c>
      <c r="M83" s="475">
        <v>9999</v>
      </c>
      <c r="N83" s="476">
        <v>0</v>
      </c>
      <c r="O83" s="472" t="s">
        <v>2043</v>
      </c>
      <c r="P83" s="473" t="s">
        <v>119</v>
      </c>
      <c r="Q83" s="474" t="s">
        <v>119</v>
      </c>
      <c r="R83" s="474" t="s">
        <v>119</v>
      </c>
      <c r="S83" s="475">
        <v>9999</v>
      </c>
      <c r="T83" s="476">
        <v>0</v>
      </c>
      <c r="U83" s="472" t="s">
        <v>2043</v>
      </c>
      <c r="V83" s="473" t="s">
        <v>119</v>
      </c>
      <c r="W83" s="474" t="s">
        <v>119</v>
      </c>
      <c r="X83" s="474" t="s">
        <v>119</v>
      </c>
      <c r="Y83" s="475">
        <v>9999</v>
      </c>
      <c r="Z83" s="476">
        <v>0</v>
      </c>
      <c r="AA83" s="472" t="s">
        <v>2043</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90000000900000990000769901</v>
      </c>
      <c r="G84" s="470" t="b">
        <f t="shared" si="29"/>
        <v>1</v>
      </c>
      <c r="H84" s="471">
        <f t="shared" si="30"/>
        <v>74</v>
      </c>
      <c r="I84" s="472" t="s">
        <v>2043</v>
      </c>
      <c r="J84" s="473" t="s">
        <v>119</v>
      </c>
      <c r="K84" s="474" t="s">
        <v>119</v>
      </c>
      <c r="L84" s="474" t="s">
        <v>119</v>
      </c>
      <c r="M84" s="475">
        <v>9999</v>
      </c>
      <c r="N84" s="476">
        <v>0</v>
      </c>
      <c r="O84" s="472" t="s">
        <v>2043</v>
      </c>
      <c r="P84" s="473" t="s">
        <v>119</v>
      </c>
      <c r="Q84" s="474" t="s">
        <v>119</v>
      </c>
      <c r="R84" s="474" t="s">
        <v>119</v>
      </c>
      <c r="S84" s="475">
        <v>9999</v>
      </c>
      <c r="T84" s="476">
        <v>0</v>
      </c>
      <c r="U84" s="472" t="s">
        <v>2043</v>
      </c>
      <c r="V84" s="473" t="s">
        <v>119</v>
      </c>
      <c r="W84" s="474" t="s">
        <v>119</v>
      </c>
      <c r="X84" s="474" t="s">
        <v>119</v>
      </c>
      <c r="Y84" s="475">
        <v>9999</v>
      </c>
      <c r="Z84" s="476">
        <v>0</v>
      </c>
      <c r="AA84" s="472" t="s">
        <v>2043</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90000000900000990000534690</v>
      </c>
      <c r="G85" s="470" t="b">
        <f t="shared" si="29"/>
        <v>1</v>
      </c>
      <c r="H85" s="471">
        <f t="shared" si="30"/>
        <v>75</v>
      </c>
      <c r="I85" s="472" t="s">
        <v>2043</v>
      </c>
      <c r="J85" s="473" t="s">
        <v>119</v>
      </c>
      <c r="K85" s="474" t="s">
        <v>119</v>
      </c>
      <c r="L85" s="474" t="s">
        <v>119</v>
      </c>
      <c r="M85" s="475">
        <v>9999</v>
      </c>
      <c r="N85" s="476">
        <v>0</v>
      </c>
      <c r="O85" s="472" t="s">
        <v>2043</v>
      </c>
      <c r="P85" s="473" t="s">
        <v>119</v>
      </c>
      <c r="Q85" s="474" t="s">
        <v>119</v>
      </c>
      <c r="R85" s="474" t="s">
        <v>119</v>
      </c>
      <c r="S85" s="475">
        <v>9999</v>
      </c>
      <c r="T85" s="476">
        <v>0</v>
      </c>
      <c r="U85" s="472" t="s">
        <v>2043</v>
      </c>
      <c r="V85" s="473" t="s">
        <v>119</v>
      </c>
      <c r="W85" s="474" t="s">
        <v>119</v>
      </c>
      <c r="X85" s="474" t="s">
        <v>119</v>
      </c>
      <c r="Y85" s="475">
        <v>9999</v>
      </c>
      <c r="Z85" s="476">
        <v>0</v>
      </c>
      <c r="AA85" s="472" t="s">
        <v>2043</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90000000900000990000530879</v>
      </c>
      <c r="G86" s="470" t="b">
        <f t="shared" si="29"/>
        <v>1</v>
      </c>
      <c r="H86" s="471">
        <f t="shared" si="30"/>
        <v>76</v>
      </c>
      <c r="I86" s="472" t="s">
        <v>2043</v>
      </c>
      <c r="J86" s="473" t="s">
        <v>119</v>
      </c>
      <c r="K86" s="474" t="s">
        <v>119</v>
      </c>
      <c r="L86" s="474" t="s">
        <v>119</v>
      </c>
      <c r="M86" s="475">
        <v>9999</v>
      </c>
      <c r="N86" s="476">
        <v>0</v>
      </c>
      <c r="O86" s="472" t="s">
        <v>2043</v>
      </c>
      <c r="P86" s="473" t="s">
        <v>119</v>
      </c>
      <c r="Q86" s="474" t="s">
        <v>119</v>
      </c>
      <c r="R86" s="474" t="s">
        <v>119</v>
      </c>
      <c r="S86" s="475">
        <v>9999</v>
      </c>
      <c r="T86" s="476">
        <v>0</v>
      </c>
      <c r="U86" s="472" t="s">
        <v>2043</v>
      </c>
      <c r="V86" s="473" t="s">
        <v>119</v>
      </c>
      <c r="W86" s="474" t="s">
        <v>119</v>
      </c>
      <c r="X86" s="474" t="s">
        <v>119</v>
      </c>
      <c r="Y86" s="475">
        <v>9999</v>
      </c>
      <c r="Z86" s="476">
        <v>0</v>
      </c>
      <c r="AA86" s="472" t="s">
        <v>2043</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90000000900000990000760579</v>
      </c>
      <c r="G87" s="470" t="b">
        <f t="shared" si="29"/>
        <v>1</v>
      </c>
      <c r="H87" s="471">
        <f t="shared" si="30"/>
        <v>77</v>
      </c>
      <c r="I87" s="472" t="s">
        <v>2043</v>
      </c>
      <c r="J87" s="473" t="s">
        <v>119</v>
      </c>
      <c r="K87" s="474" t="s">
        <v>119</v>
      </c>
      <c r="L87" s="474" t="s">
        <v>119</v>
      </c>
      <c r="M87" s="475">
        <v>9999</v>
      </c>
      <c r="N87" s="476">
        <v>0</v>
      </c>
      <c r="O87" s="472" t="s">
        <v>2043</v>
      </c>
      <c r="P87" s="473" t="s">
        <v>119</v>
      </c>
      <c r="Q87" s="474" t="s">
        <v>119</v>
      </c>
      <c r="R87" s="474" t="s">
        <v>119</v>
      </c>
      <c r="S87" s="475">
        <v>9999</v>
      </c>
      <c r="T87" s="476">
        <v>0</v>
      </c>
      <c r="U87" s="472" t="s">
        <v>2043</v>
      </c>
      <c r="V87" s="473" t="s">
        <v>119</v>
      </c>
      <c r="W87" s="474" t="s">
        <v>119</v>
      </c>
      <c r="X87" s="474" t="s">
        <v>119</v>
      </c>
      <c r="Y87" s="475">
        <v>9999</v>
      </c>
      <c r="Z87" s="476">
        <v>0</v>
      </c>
      <c r="AA87" s="472" t="s">
        <v>2043</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90000000900000990000233285</v>
      </c>
      <c r="G88" s="470" t="b">
        <f t="shared" si="29"/>
        <v>1</v>
      </c>
      <c r="H88" s="471">
        <f t="shared" si="30"/>
        <v>78</v>
      </c>
      <c r="I88" s="472" t="s">
        <v>2043</v>
      </c>
      <c r="J88" s="473" t="s">
        <v>119</v>
      </c>
      <c r="K88" s="474" t="s">
        <v>119</v>
      </c>
      <c r="L88" s="474" t="s">
        <v>119</v>
      </c>
      <c r="M88" s="475">
        <v>9999</v>
      </c>
      <c r="N88" s="476">
        <v>0</v>
      </c>
      <c r="O88" s="472" t="s">
        <v>2043</v>
      </c>
      <c r="P88" s="473" t="s">
        <v>119</v>
      </c>
      <c r="Q88" s="474" t="s">
        <v>119</v>
      </c>
      <c r="R88" s="474" t="s">
        <v>119</v>
      </c>
      <c r="S88" s="475">
        <v>9999</v>
      </c>
      <c r="T88" s="476">
        <v>0</v>
      </c>
      <c r="U88" s="472" t="s">
        <v>2043</v>
      </c>
      <c r="V88" s="473" t="s">
        <v>119</v>
      </c>
      <c r="W88" s="474" t="s">
        <v>119</v>
      </c>
      <c r="X88" s="474" t="s">
        <v>119</v>
      </c>
      <c r="Y88" s="475">
        <v>9999</v>
      </c>
      <c r="Z88" s="476">
        <v>0</v>
      </c>
      <c r="AA88" s="472" t="s">
        <v>2043</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90000000900000990000753282</v>
      </c>
      <c r="G89" s="470" t="b">
        <f t="shared" si="29"/>
        <v>1</v>
      </c>
      <c r="H89" s="471">
        <f t="shared" si="30"/>
        <v>79</v>
      </c>
      <c r="I89" s="472" t="s">
        <v>2043</v>
      </c>
      <c r="J89" s="473" t="s">
        <v>119</v>
      </c>
      <c r="K89" s="474" t="s">
        <v>119</v>
      </c>
      <c r="L89" s="474" t="s">
        <v>119</v>
      </c>
      <c r="M89" s="475">
        <v>9999</v>
      </c>
      <c r="N89" s="476">
        <v>0</v>
      </c>
      <c r="O89" s="472" t="s">
        <v>2043</v>
      </c>
      <c r="P89" s="473" t="s">
        <v>119</v>
      </c>
      <c r="Q89" s="474" t="s">
        <v>119</v>
      </c>
      <c r="R89" s="474" t="s">
        <v>119</v>
      </c>
      <c r="S89" s="475">
        <v>9999</v>
      </c>
      <c r="T89" s="476">
        <v>0</v>
      </c>
      <c r="U89" s="472" t="s">
        <v>2043</v>
      </c>
      <c r="V89" s="473" t="s">
        <v>119</v>
      </c>
      <c r="W89" s="474" t="s">
        <v>119</v>
      </c>
      <c r="X89" s="474" t="s">
        <v>119</v>
      </c>
      <c r="Y89" s="475">
        <v>9999</v>
      </c>
      <c r="Z89" s="476">
        <v>0</v>
      </c>
      <c r="AA89" s="472" t="s">
        <v>2043</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90000000900000990000077106</v>
      </c>
      <c r="G90" s="470" t="b">
        <f t="shared" si="29"/>
        <v>1</v>
      </c>
      <c r="H90" s="471">
        <f t="shared" si="30"/>
        <v>80</v>
      </c>
      <c r="I90" s="472" t="s">
        <v>2043</v>
      </c>
      <c r="J90" s="473" t="s">
        <v>119</v>
      </c>
      <c r="K90" s="474" t="s">
        <v>119</v>
      </c>
      <c r="L90" s="474" t="s">
        <v>119</v>
      </c>
      <c r="M90" s="475">
        <v>9999</v>
      </c>
      <c r="N90" s="476">
        <v>0</v>
      </c>
      <c r="O90" s="472" t="s">
        <v>2043</v>
      </c>
      <c r="P90" s="473" t="s">
        <v>119</v>
      </c>
      <c r="Q90" s="474" t="s">
        <v>119</v>
      </c>
      <c r="R90" s="474" t="s">
        <v>119</v>
      </c>
      <c r="S90" s="475">
        <v>9999</v>
      </c>
      <c r="T90" s="476">
        <v>0</v>
      </c>
      <c r="U90" s="472" t="s">
        <v>2043</v>
      </c>
      <c r="V90" s="473" t="s">
        <v>119</v>
      </c>
      <c r="W90" s="474" t="s">
        <v>119</v>
      </c>
      <c r="X90" s="474" t="s">
        <v>119</v>
      </c>
      <c r="Y90" s="475">
        <v>9999</v>
      </c>
      <c r="Z90" s="476">
        <v>0</v>
      </c>
      <c r="AA90" s="472" t="s">
        <v>2043</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90000000900000990000617862</v>
      </c>
      <c r="G91" s="470" t="b">
        <f t="shared" si="29"/>
        <v>1</v>
      </c>
      <c r="H91" s="471">
        <f t="shared" si="30"/>
        <v>81</v>
      </c>
      <c r="I91" s="472" t="s">
        <v>2043</v>
      </c>
      <c r="J91" s="473" t="s">
        <v>119</v>
      </c>
      <c r="K91" s="474" t="s">
        <v>119</v>
      </c>
      <c r="L91" s="474" t="s">
        <v>119</v>
      </c>
      <c r="M91" s="475">
        <v>9999</v>
      </c>
      <c r="N91" s="476">
        <v>0</v>
      </c>
      <c r="O91" s="472" t="s">
        <v>2043</v>
      </c>
      <c r="P91" s="473" t="s">
        <v>119</v>
      </c>
      <c r="Q91" s="474" t="s">
        <v>119</v>
      </c>
      <c r="R91" s="474" t="s">
        <v>119</v>
      </c>
      <c r="S91" s="475">
        <v>9999</v>
      </c>
      <c r="T91" s="476">
        <v>0</v>
      </c>
      <c r="U91" s="472" t="s">
        <v>2043</v>
      </c>
      <c r="V91" s="473" t="s">
        <v>119</v>
      </c>
      <c r="W91" s="474" t="s">
        <v>119</v>
      </c>
      <c r="X91" s="474" t="s">
        <v>119</v>
      </c>
      <c r="Y91" s="475">
        <v>9999</v>
      </c>
      <c r="Z91" s="476">
        <v>0</v>
      </c>
      <c r="AA91" s="472" t="s">
        <v>2043</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90000000900000990000199376</v>
      </c>
      <c r="G92" s="470" t="b">
        <f t="shared" si="29"/>
        <v>1</v>
      </c>
      <c r="H92" s="471">
        <f t="shared" si="30"/>
        <v>82</v>
      </c>
      <c r="I92" s="472" t="s">
        <v>2043</v>
      </c>
      <c r="J92" s="473" t="s">
        <v>119</v>
      </c>
      <c r="K92" s="474" t="s">
        <v>119</v>
      </c>
      <c r="L92" s="474" t="s">
        <v>119</v>
      </c>
      <c r="M92" s="475">
        <v>9999</v>
      </c>
      <c r="N92" s="476">
        <v>0</v>
      </c>
      <c r="O92" s="472" t="s">
        <v>2043</v>
      </c>
      <c r="P92" s="473" t="s">
        <v>119</v>
      </c>
      <c r="Q92" s="474" t="s">
        <v>119</v>
      </c>
      <c r="R92" s="474" t="s">
        <v>119</v>
      </c>
      <c r="S92" s="475">
        <v>9999</v>
      </c>
      <c r="T92" s="476">
        <v>0</v>
      </c>
      <c r="U92" s="472" t="s">
        <v>2043</v>
      </c>
      <c r="V92" s="473" t="s">
        <v>119</v>
      </c>
      <c r="W92" s="474" t="s">
        <v>119</v>
      </c>
      <c r="X92" s="474" t="s">
        <v>119</v>
      </c>
      <c r="Y92" s="475">
        <v>9999</v>
      </c>
      <c r="Z92" s="476">
        <v>0</v>
      </c>
      <c r="AA92" s="472" t="s">
        <v>2043</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90000000900000990000497016</v>
      </c>
      <c r="G93" s="470" t="b">
        <f t="shared" si="29"/>
        <v>1</v>
      </c>
      <c r="H93" s="471">
        <f t="shared" si="30"/>
        <v>83</v>
      </c>
      <c r="I93" s="472" t="s">
        <v>2043</v>
      </c>
      <c r="J93" s="473" t="s">
        <v>119</v>
      </c>
      <c r="K93" s="474" t="s">
        <v>119</v>
      </c>
      <c r="L93" s="474" t="s">
        <v>119</v>
      </c>
      <c r="M93" s="475">
        <v>9999</v>
      </c>
      <c r="N93" s="476">
        <v>0</v>
      </c>
      <c r="O93" s="472" t="s">
        <v>2043</v>
      </c>
      <c r="P93" s="473" t="s">
        <v>119</v>
      </c>
      <c r="Q93" s="474" t="s">
        <v>119</v>
      </c>
      <c r="R93" s="474" t="s">
        <v>119</v>
      </c>
      <c r="S93" s="475">
        <v>9999</v>
      </c>
      <c r="T93" s="476">
        <v>0</v>
      </c>
      <c r="U93" s="472" t="s">
        <v>2043</v>
      </c>
      <c r="V93" s="473" t="s">
        <v>119</v>
      </c>
      <c r="W93" s="474" t="s">
        <v>119</v>
      </c>
      <c r="X93" s="474" t="s">
        <v>119</v>
      </c>
      <c r="Y93" s="475">
        <v>9999</v>
      </c>
      <c r="Z93" s="476">
        <v>0</v>
      </c>
      <c r="AA93" s="472" t="s">
        <v>2043</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90000000900000990000434881</v>
      </c>
      <c r="G94" s="470" t="b">
        <f t="shared" si="29"/>
        <v>1</v>
      </c>
      <c r="H94" s="471">
        <f t="shared" si="30"/>
        <v>84</v>
      </c>
      <c r="I94" s="472" t="s">
        <v>2043</v>
      </c>
      <c r="J94" s="473" t="s">
        <v>119</v>
      </c>
      <c r="K94" s="474" t="s">
        <v>119</v>
      </c>
      <c r="L94" s="474" t="s">
        <v>119</v>
      </c>
      <c r="M94" s="475">
        <v>9999</v>
      </c>
      <c r="N94" s="476">
        <v>0</v>
      </c>
      <c r="O94" s="472" t="s">
        <v>2043</v>
      </c>
      <c r="P94" s="473" t="s">
        <v>119</v>
      </c>
      <c r="Q94" s="474" t="s">
        <v>119</v>
      </c>
      <c r="R94" s="474" t="s">
        <v>119</v>
      </c>
      <c r="S94" s="475">
        <v>9999</v>
      </c>
      <c r="T94" s="476">
        <v>0</v>
      </c>
      <c r="U94" s="472" t="s">
        <v>2043</v>
      </c>
      <c r="V94" s="473" t="s">
        <v>119</v>
      </c>
      <c r="W94" s="474" t="s">
        <v>119</v>
      </c>
      <c r="X94" s="474" t="s">
        <v>119</v>
      </c>
      <c r="Y94" s="475">
        <v>9999</v>
      </c>
      <c r="Z94" s="476">
        <v>0</v>
      </c>
      <c r="AA94" s="472" t="s">
        <v>2043</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90000000900000990000765763</v>
      </c>
      <c r="G95" s="470" t="b">
        <f t="shared" si="29"/>
        <v>1</v>
      </c>
      <c r="H95" s="471">
        <f t="shared" si="30"/>
        <v>85</v>
      </c>
      <c r="I95" s="472" t="s">
        <v>2043</v>
      </c>
      <c r="J95" s="473" t="s">
        <v>119</v>
      </c>
      <c r="K95" s="474" t="s">
        <v>119</v>
      </c>
      <c r="L95" s="474" t="s">
        <v>119</v>
      </c>
      <c r="M95" s="475">
        <v>9999</v>
      </c>
      <c r="N95" s="476">
        <v>0</v>
      </c>
      <c r="O95" s="472" t="s">
        <v>2043</v>
      </c>
      <c r="P95" s="473" t="s">
        <v>119</v>
      </c>
      <c r="Q95" s="474" t="s">
        <v>119</v>
      </c>
      <c r="R95" s="474" t="s">
        <v>119</v>
      </c>
      <c r="S95" s="475">
        <v>9999</v>
      </c>
      <c r="T95" s="476">
        <v>0</v>
      </c>
      <c r="U95" s="472" t="s">
        <v>2043</v>
      </c>
      <c r="V95" s="473" t="s">
        <v>119</v>
      </c>
      <c r="W95" s="474" t="s">
        <v>119</v>
      </c>
      <c r="X95" s="474" t="s">
        <v>119</v>
      </c>
      <c r="Y95" s="475">
        <v>9999</v>
      </c>
      <c r="Z95" s="476">
        <v>0</v>
      </c>
      <c r="AA95" s="472" t="s">
        <v>2043</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90000000900000990000245800</v>
      </c>
      <c r="G96" s="470" t="b">
        <f t="shared" si="29"/>
        <v>1</v>
      </c>
      <c r="H96" s="471">
        <f t="shared" si="30"/>
        <v>86</v>
      </c>
      <c r="I96" s="472" t="s">
        <v>2043</v>
      </c>
      <c r="J96" s="473" t="s">
        <v>119</v>
      </c>
      <c r="K96" s="474" t="s">
        <v>119</v>
      </c>
      <c r="L96" s="474" t="s">
        <v>119</v>
      </c>
      <c r="M96" s="475">
        <v>9999</v>
      </c>
      <c r="N96" s="476">
        <v>0</v>
      </c>
      <c r="O96" s="472" t="s">
        <v>2043</v>
      </c>
      <c r="P96" s="473" t="s">
        <v>119</v>
      </c>
      <c r="Q96" s="474" t="s">
        <v>119</v>
      </c>
      <c r="R96" s="474" t="s">
        <v>119</v>
      </c>
      <c r="S96" s="475">
        <v>9999</v>
      </c>
      <c r="T96" s="476">
        <v>0</v>
      </c>
      <c r="U96" s="472" t="s">
        <v>2043</v>
      </c>
      <c r="V96" s="473" t="s">
        <v>119</v>
      </c>
      <c r="W96" s="474" t="s">
        <v>119</v>
      </c>
      <c r="X96" s="474" t="s">
        <v>119</v>
      </c>
      <c r="Y96" s="475">
        <v>9999</v>
      </c>
      <c r="Z96" s="476">
        <v>0</v>
      </c>
      <c r="AA96" s="472" t="s">
        <v>2043</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90000000900000990000277325</v>
      </c>
      <c r="G97" s="470" t="b">
        <f t="shared" si="29"/>
        <v>1</v>
      </c>
      <c r="H97" s="471">
        <f t="shared" si="30"/>
        <v>87</v>
      </c>
      <c r="I97" s="472" t="s">
        <v>2043</v>
      </c>
      <c r="J97" s="473" t="s">
        <v>119</v>
      </c>
      <c r="K97" s="474" t="s">
        <v>119</v>
      </c>
      <c r="L97" s="474" t="s">
        <v>119</v>
      </c>
      <c r="M97" s="475">
        <v>9999</v>
      </c>
      <c r="N97" s="476">
        <v>0</v>
      </c>
      <c r="O97" s="472" t="s">
        <v>2043</v>
      </c>
      <c r="P97" s="473" t="s">
        <v>119</v>
      </c>
      <c r="Q97" s="474" t="s">
        <v>119</v>
      </c>
      <c r="R97" s="474" t="s">
        <v>119</v>
      </c>
      <c r="S97" s="475">
        <v>9999</v>
      </c>
      <c r="T97" s="476">
        <v>0</v>
      </c>
      <c r="U97" s="472" t="s">
        <v>2043</v>
      </c>
      <c r="V97" s="473" t="s">
        <v>119</v>
      </c>
      <c r="W97" s="474" t="s">
        <v>119</v>
      </c>
      <c r="X97" s="474" t="s">
        <v>119</v>
      </c>
      <c r="Y97" s="475">
        <v>9999</v>
      </c>
      <c r="Z97" s="476">
        <v>0</v>
      </c>
      <c r="AA97" s="472" t="s">
        <v>2043</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90000000900000990000558562</v>
      </c>
      <c r="G98" s="470" t="b">
        <f t="shared" si="29"/>
        <v>1</v>
      </c>
      <c r="H98" s="471">
        <f t="shared" si="30"/>
        <v>88</v>
      </c>
      <c r="I98" s="472" t="s">
        <v>2043</v>
      </c>
      <c r="J98" s="473" t="s">
        <v>119</v>
      </c>
      <c r="K98" s="474" t="s">
        <v>119</v>
      </c>
      <c r="L98" s="474" t="s">
        <v>119</v>
      </c>
      <c r="M98" s="475">
        <v>9999</v>
      </c>
      <c r="N98" s="476">
        <v>0</v>
      </c>
      <c r="O98" s="472" t="s">
        <v>2043</v>
      </c>
      <c r="P98" s="473" t="s">
        <v>119</v>
      </c>
      <c r="Q98" s="474" t="s">
        <v>119</v>
      </c>
      <c r="R98" s="474" t="s">
        <v>119</v>
      </c>
      <c r="S98" s="475">
        <v>9999</v>
      </c>
      <c r="T98" s="476">
        <v>0</v>
      </c>
      <c r="U98" s="472" t="s">
        <v>2043</v>
      </c>
      <c r="V98" s="473" t="s">
        <v>119</v>
      </c>
      <c r="W98" s="474" t="s">
        <v>119</v>
      </c>
      <c r="X98" s="474" t="s">
        <v>119</v>
      </c>
      <c r="Y98" s="475">
        <v>9999</v>
      </c>
      <c r="Z98" s="476">
        <v>0</v>
      </c>
      <c r="AA98" s="472" t="s">
        <v>2043</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03">
        <f t="shared" si="27"/>
        <v>9999</v>
      </c>
      <c r="F99" s="434" t="str">
        <f t="shared" ca="1" si="28"/>
        <v>90000000900000990000637613</v>
      </c>
      <c r="G99" s="470" t="b">
        <f t="shared" si="29"/>
        <v>1</v>
      </c>
      <c r="H99" s="471">
        <f t="shared" si="30"/>
        <v>89</v>
      </c>
      <c r="I99" s="472" t="s">
        <v>2043</v>
      </c>
      <c r="J99" s="473" t="s">
        <v>119</v>
      </c>
      <c r="K99" s="474" t="s">
        <v>119</v>
      </c>
      <c r="L99" s="474" t="s">
        <v>119</v>
      </c>
      <c r="M99" s="475">
        <v>9999</v>
      </c>
      <c r="N99" s="476">
        <v>0</v>
      </c>
      <c r="O99" s="472" t="s">
        <v>2043</v>
      </c>
      <c r="P99" s="473" t="s">
        <v>119</v>
      </c>
      <c r="Q99" s="474" t="s">
        <v>119</v>
      </c>
      <c r="R99" s="474" t="s">
        <v>119</v>
      </c>
      <c r="S99" s="475">
        <v>9999</v>
      </c>
      <c r="T99" s="476">
        <v>0</v>
      </c>
      <c r="U99" s="472" t="s">
        <v>2043</v>
      </c>
      <c r="V99" s="473" t="s">
        <v>119</v>
      </c>
      <c r="W99" s="474" t="s">
        <v>119</v>
      </c>
      <c r="X99" s="474" t="s">
        <v>119</v>
      </c>
      <c r="Y99" s="475">
        <v>9999</v>
      </c>
      <c r="Z99" s="476">
        <v>0</v>
      </c>
      <c r="AA99" s="472" t="s">
        <v>2043</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90000000900000990000411491</v>
      </c>
      <c r="G100" s="470" t="b">
        <f t="shared" si="29"/>
        <v>1</v>
      </c>
      <c r="H100" s="471">
        <f t="shared" si="30"/>
        <v>90</v>
      </c>
      <c r="I100" s="472" t="s">
        <v>2043</v>
      </c>
      <c r="J100" s="473" t="s">
        <v>119</v>
      </c>
      <c r="K100" s="474" t="s">
        <v>119</v>
      </c>
      <c r="L100" s="474" t="s">
        <v>119</v>
      </c>
      <c r="M100" s="475">
        <v>9999</v>
      </c>
      <c r="N100" s="476">
        <v>0</v>
      </c>
      <c r="O100" s="472" t="s">
        <v>2043</v>
      </c>
      <c r="P100" s="473" t="s">
        <v>119</v>
      </c>
      <c r="Q100" s="474" t="s">
        <v>119</v>
      </c>
      <c r="R100" s="474" t="s">
        <v>119</v>
      </c>
      <c r="S100" s="475">
        <v>9999</v>
      </c>
      <c r="T100" s="476">
        <v>0</v>
      </c>
      <c r="U100" s="472" t="s">
        <v>2043</v>
      </c>
      <c r="V100" s="473" t="s">
        <v>119</v>
      </c>
      <c r="W100" s="474" t="s">
        <v>119</v>
      </c>
      <c r="X100" s="474" t="s">
        <v>119</v>
      </c>
      <c r="Y100" s="475">
        <v>9999</v>
      </c>
      <c r="Z100" s="476">
        <v>0</v>
      </c>
      <c r="AA100" s="472" t="s">
        <v>2043</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90000000900000990000783770</v>
      </c>
      <c r="G101" s="470" t="b">
        <f t="shared" si="29"/>
        <v>1</v>
      </c>
      <c r="H101" s="471">
        <f t="shared" si="30"/>
        <v>91</v>
      </c>
      <c r="I101" s="472" t="s">
        <v>2043</v>
      </c>
      <c r="J101" s="473" t="s">
        <v>119</v>
      </c>
      <c r="K101" s="474" t="s">
        <v>119</v>
      </c>
      <c r="L101" s="474" t="s">
        <v>119</v>
      </c>
      <c r="M101" s="475">
        <v>9999</v>
      </c>
      <c r="N101" s="476">
        <v>0</v>
      </c>
      <c r="O101" s="472" t="s">
        <v>2043</v>
      </c>
      <c r="P101" s="473" t="s">
        <v>119</v>
      </c>
      <c r="Q101" s="474" t="s">
        <v>119</v>
      </c>
      <c r="R101" s="474" t="s">
        <v>119</v>
      </c>
      <c r="S101" s="475">
        <v>9999</v>
      </c>
      <c r="T101" s="476">
        <v>0</v>
      </c>
      <c r="U101" s="472" t="s">
        <v>2043</v>
      </c>
      <c r="V101" s="473" t="s">
        <v>119</v>
      </c>
      <c r="W101" s="474" t="s">
        <v>119</v>
      </c>
      <c r="X101" s="474" t="s">
        <v>119</v>
      </c>
      <c r="Y101" s="475">
        <v>9999</v>
      </c>
      <c r="Z101" s="476">
        <v>0</v>
      </c>
      <c r="AA101" s="472" t="s">
        <v>2043</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90000000900000990000228470</v>
      </c>
      <c r="G102" s="470" t="b">
        <f t="shared" si="29"/>
        <v>1</v>
      </c>
      <c r="H102" s="471">
        <f t="shared" si="30"/>
        <v>92</v>
      </c>
      <c r="I102" s="472" t="s">
        <v>2043</v>
      </c>
      <c r="J102" s="473" t="s">
        <v>119</v>
      </c>
      <c r="K102" s="474" t="s">
        <v>119</v>
      </c>
      <c r="L102" s="474" t="s">
        <v>119</v>
      </c>
      <c r="M102" s="475">
        <v>9999</v>
      </c>
      <c r="N102" s="476">
        <v>0</v>
      </c>
      <c r="O102" s="472" t="s">
        <v>2043</v>
      </c>
      <c r="P102" s="473" t="s">
        <v>119</v>
      </c>
      <c r="Q102" s="474" t="s">
        <v>119</v>
      </c>
      <c r="R102" s="474" t="s">
        <v>119</v>
      </c>
      <c r="S102" s="475">
        <v>9999</v>
      </c>
      <c r="T102" s="476">
        <v>0</v>
      </c>
      <c r="U102" s="472" t="s">
        <v>2043</v>
      </c>
      <c r="V102" s="473" t="s">
        <v>119</v>
      </c>
      <c r="W102" s="474" t="s">
        <v>119</v>
      </c>
      <c r="X102" s="474" t="s">
        <v>119</v>
      </c>
      <c r="Y102" s="475">
        <v>9999</v>
      </c>
      <c r="Z102" s="476">
        <v>0</v>
      </c>
      <c r="AA102" s="472" t="s">
        <v>2043</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90000000900000990000999965</v>
      </c>
      <c r="G103" s="470" t="b">
        <f t="shared" si="29"/>
        <v>1</v>
      </c>
      <c r="H103" s="471">
        <f t="shared" si="30"/>
        <v>93</v>
      </c>
      <c r="I103" s="472" t="s">
        <v>2043</v>
      </c>
      <c r="J103" s="473" t="s">
        <v>119</v>
      </c>
      <c r="K103" s="474" t="s">
        <v>119</v>
      </c>
      <c r="L103" s="474" t="s">
        <v>119</v>
      </c>
      <c r="M103" s="475">
        <v>9999</v>
      </c>
      <c r="N103" s="476">
        <v>0</v>
      </c>
      <c r="O103" s="472" t="s">
        <v>2043</v>
      </c>
      <c r="P103" s="473" t="s">
        <v>119</v>
      </c>
      <c r="Q103" s="474" t="s">
        <v>119</v>
      </c>
      <c r="R103" s="474" t="s">
        <v>119</v>
      </c>
      <c r="S103" s="475">
        <v>9999</v>
      </c>
      <c r="T103" s="476">
        <v>0</v>
      </c>
      <c r="U103" s="472" t="s">
        <v>2043</v>
      </c>
      <c r="V103" s="473" t="s">
        <v>119</v>
      </c>
      <c r="W103" s="474" t="s">
        <v>119</v>
      </c>
      <c r="X103" s="474" t="s">
        <v>119</v>
      </c>
      <c r="Y103" s="475">
        <v>9999</v>
      </c>
      <c r="Z103" s="476">
        <v>0</v>
      </c>
      <c r="AA103" s="472" t="s">
        <v>2043</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90000000900000990000145567</v>
      </c>
      <c r="G104" s="470" t="b">
        <f t="shared" si="29"/>
        <v>1</v>
      </c>
      <c r="H104" s="471">
        <f t="shared" si="30"/>
        <v>94</v>
      </c>
      <c r="I104" s="472" t="s">
        <v>2043</v>
      </c>
      <c r="J104" s="473" t="s">
        <v>119</v>
      </c>
      <c r="K104" s="474" t="s">
        <v>119</v>
      </c>
      <c r="L104" s="474" t="s">
        <v>119</v>
      </c>
      <c r="M104" s="475">
        <v>9999</v>
      </c>
      <c r="N104" s="476">
        <v>0</v>
      </c>
      <c r="O104" s="472" t="s">
        <v>2043</v>
      </c>
      <c r="P104" s="473" t="s">
        <v>119</v>
      </c>
      <c r="Q104" s="474" t="s">
        <v>119</v>
      </c>
      <c r="R104" s="474" t="s">
        <v>119</v>
      </c>
      <c r="S104" s="475">
        <v>9999</v>
      </c>
      <c r="T104" s="476">
        <v>0</v>
      </c>
      <c r="U104" s="472" t="s">
        <v>2043</v>
      </c>
      <c r="V104" s="473" t="s">
        <v>119</v>
      </c>
      <c r="W104" s="474" t="s">
        <v>119</v>
      </c>
      <c r="X104" s="474" t="s">
        <v>119</v>
      </c>
      <c r="Y104" s="475">
        <v>9999</v>
      </c>
      <c r="Z104" s="476">
        <v>0</v>
      </c>
      <c r="AA104" s="472" t="s">
        <v>2043</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90000000900000990000575741</v>
      </c>
      <c r="G105" s="470" t="b">
        <f t="shared" si="29"/>
        <v>1</v>
      </c>
      <c r="H105" s="471">
        <f t="shared" si="30"/>
        <v>95</v>
      </c>
      <c r="I105" s="472" t="s">
        <v>2043</v>
      </c>
      <c r="J105" s="473" t="s">
        <v>119</v>
      </c>
      <c r="K105" s="474" t="s">
        <v>119</v>
      </c>
      <c r="L105" s="474" t="s">
        <v>119</v>
      </c>
      <c r="M105" s="475">
        <v>9999</v>
      </c>
      <c r="N105" s="476">
        <v>0</v>
      </c>
      <c r="O105" s="472" t="s">
        <v>2043</v>
      </c>
      <c r="P105" s="473" t="s">
        <v>119</v>
      </c>
      <c r="Q105" s="474" t="s">
        <v>119</v>
      </c>
      <c r="R105" s="474" t="s">
        <v>119</v>
      </c>
      <c r="S105" s="475">
        <v>9999</v>
      </c>
      <c r="T105" s="476">
        <v>0</v>
      </c>
      <c r="U105" s="472" t="s">
        <v>2043</v>
      </c>
      <c r="V105" s="473" t="s">
        <v>119</v>
      </c>
      <c r="W105" s="474" t="s">
        <v>119</v>
      </c>
      <c r="X105" s="474" t="s">
        <v>119</v>
      </c>
      <c r="Y105" s="475">
        <v>9999</v>
      </c>
      <c r="Z105" s="476">
        <v>0</v>
      </c>
      <c r="AA105" s="472" t="s">
        <v>2043</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03">
        <f t="shared" si="27"/>
        <v>9999</v>
      </c>
      <c r="F106" s="434" t="str">
        <f t="shared" ca="1" si="28"/>
        <v>90000000900000990000180462</v>
      </c>
      <c r="G106" s="470" t="b">
        <f t="shared" si="29"/>
        <v>1</v>
      </c>
      <c r="H106" s="471">
        <f t="shared" si="30"/>
        <v>96</v>
      </c>
      <c r="I106" s="472" t="s">
        <v>2043</v>
      </c>
      <c r="J106" s="473" t="s">
        <v>119</v>
      </c>
      <c r="K106" s="474" t="s">
        <v>119</v>
      </c>
      <c r="L106" s="474" t="s">
        <v>119</v>
      </c>
      <c r="M106" s="475">
        <v>9999</v>
      </c>
      <c r="N106" s="476">
        <v>0</v>
      </c>
      <c r="O106" s="472" t="s">
        <v>2043</v>
      </c>
      <c r="P106" s="473" t="s">
        <v>119</v>
      </c>
      <c r="Q106" s="474" t="s">
        <v>119</v>
      </c>
      <c r="R106" s="474" t="s">
        <v>119</v>
      </c>
      <c r="S106" s="475">
        <v>9999</v>
      </c>
      <c r="T106" s="476">
        <v>0</v>
      </c>
      <c r="U106" s="472" t="s">
        <v>2043</v>
      </c>
      <c r="V106" s="473" t="s">
        <v>119</v>
      </c>
      <c r="W106" s="474" t="s">
        <v>119</v>
      </c>
      <c r="X106" s="474" t="s">
        <v>119</v>
      </c>
      <c r="Y106" s="475">
        <v>9999</v>
      </c>
      <c r="Z106" s="476">
        <v>0</v>
      </c>
      <c r="AA106" s="472" t="s">
        <v>2043</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90000000900000990000300675</v>
      </c>
      <c r="G107" s="470" t="b">
        <f t="shared" ref="G107:G138" si="41">IF(OR($K$6&gt;A107,AR107&gt;0),TRUE,FALSE)</f>
        <v>1</v>
      </c>
      <c r="H107" s="471">
        <f t="shared" ref="H107:H138" si="42">ROW(H107)-10</f>
        <v>97</v>
      </c>
      <c r="I107" s="472" t="s">
        <v>2043</v>
      </c>
      <c r="J107" s="473" t="s">
        <v>119</v>
      </c>
      <c r="K107" s="474" t="s">
        <v>119</v>
      </c>
      <c r="L107" s="474" t="s">
        <v>119</v>
      </c>
      <c r="M107" s="475">
        <v>9999</v>
      </c>
      <c r="N107" s="476">
        <v>0</v>
      </c>
      <c r="O107" s="472" t="s">
        <v>2043</v>
      </c>
      <c r="P107" s="473" t="s">
        <v>119</v>
      </c>
      <c r="Q107" s="474" t="s">
        <v>119</v>
      </c>
      <c r="R107" s="474" t="s">
        <v>119</v>
      </c>
      <c r="S107" s="475">
        <v>9999</v>
      </c>
      <c r="T107" s="476">
        <v>0</v>
      </c>
      <c r="U107" s="472" t="s">
        <v>2043</v>
      </c>
      <c r="V107" s="473" t="s">
        <v>119</v>
      </c>
      <c r="W107" s="474" t="s">
        <v>119</v>
      </c>
      <c r="X107" s="474" t="s">
        <v>119</v>
      </c>
      <c r="Y107" s="475">
        <v>9999</v>
      </c>
      <c r="Z107" s="476">
        <v>0</v>
      </c>
      <c r="AA107" s="472" t="s">
        <v>2043</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90000000900000990000616565</v>
      </c>
      <c r="G108" s="470" t="b">
        <f t="shared" si="41"/>
        <v>1</v>
      </c>
      <c r="H108" s="471">
        <f t="shared" si="42"/>
        <v>98</v>
      </c>
      <c r="I108" s="472" t="s">
        <v>2043</v>
      </c>
      <c r="J108" s="473" t="s">
        <v>119</v>
      </c>
      <c r="K108" s="474" t="s">
        <v>119</v>
      </c>
      <c r="L108" s="474" t="s">
        <v>119</v>
      </c>
      <c r="M108" s="475">
        <v>9999</v>
      </c>
      <c r="N108" s="476">
        <v>0</v>
      </c>
      <c r="O108" s="472" t="s">
        <v>2043</v>
      </c>
      <c r="P108" s="473" t="s">
        <v>119</v>
      </c>
      <c r="Q108" s="474" t="s">
        <v>119</v>
      </c>
      <c r="R108" s="474" t="s">
        <v>119</v>
      </c>
      <c r="S108" s="475">
        <v>9999</v>
      </c>
      <c r="T108" s="476">
        <v>0</v>
      </c>
      <c r="U108" s="472" t="s">
        <v>2043</v>
      </c>
      <c r="V108" s="473" t="s">
        <v>119</v>
      </c>
      <c r="W108" s="474" t="s">
        <v>119</v>
      </c>
      <c r="X108" s="474" t="s">
        <v>119</v>
      </c>
      <c r="Y108" s="475">
        <v>9999</v>
      </c>
      <c r="Z108" s="476">
        <v>0</v>
      </c>
      <c r="AA108" s="472" t="s">
        <v>2043</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90000000900000990000414230</v>
      </c>
      <c r="G109" s="470" t="b">
        <f t="shared" si="41"/>
        <v>1</v>
      </c>
      <c r="H109" s="471">
        <f t="shared" si="42"/>
        <v>99</v>
      </c>
      <c r="I109" s="472" t="s">
        <v>2043</v>
      </c>
      <c r="J109" s="473" t="s">
        <v>119</v>
      </c>
      <c r="K109" s="474" t="s">
        <v>119</v>
      </c>
      <c r="L109" s="474" t="s">
        <v>119</v>
      </c>
      <c r="M109" s="475">
        <v>9999</v>
      </c>
      <c r="N109" s="476">
        <v>0</v>
      </c>
      <c r="O109" s="472" t="s">
        <v>2043</v>
      </c>
      <c r="P109" s="473" t="s">
        <v>119</v>
      </c>
      <c r="Q109" s="474" t="s">
        <v>119</v>
      </c>
      <c r="R109" s="474" t="s">
        <v>119</v>
      </c>
      <c r="S109" s="475">
        <v>9999</v>
      </c>
      <c r="T109" s="476">
        <v>0</v>
      </c>
      <c r="U109" s="472" t="s">
        <v>2043</v>
      </c>
      <c r="V109" s="473" t="s">
        <v>119</v>
      </c>
      <c r="W109" s="474" t="s">
        <v>119</v>
      </c>
      <c r="X109" s="474" t="s">
        <v>119</v>
      </c>
      <c r="Y109" s="475">
        <v>9999</v>
      </c>
      <c r="Z109" s="476">
        <v>0</v>
      </c>
      <c r="AA109" s="472" t="s">
        <v>2043</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90000000900000990000400356</v>
      </c>
      <c r="G110" s="470" t="b">
        <f t="shared" si="41"/>
        <v>1</v>
      </c>
      <c r="H110" s="471">
        <f t="shared" si="42"/>
        <v>100</v>
      </c>
      <c r="I110" s="472" t="s">
        <v>2043</v>
      </c>
      <c r="J110" s="473" t="s">
        <v>119</v>
      </c>
      <c r="K110" s="474" t="s">
        <v>119</v>
      </c>
      <c r="L110" s="474" t="s">
        <v>119</v>
      </c>
      <c r="M110" s="475">
        <v>9999</v>
      </c>
      <c r="N110" s="476">
        <v>0</v>
      </c>
      <c r="O110" s="472" t="s">
        <v>2043</v>
      </c>
      <c r="P110" s="473" t="s">
        <v>119</v>
      </c>
      <c r="Q110" s="474" t="s">
        <v>119</v>
      </c>
      <c r="R110" s="474" t="s">
        <v>119</v>
      </c>
      <c r="S110" s="475">
        <v>9999</v>
      </c>
      <c r="T110" s="476">
        <v>0</v>
      </c>
      <c r="U110" s="472" t="s">
        <v>2043</v>
      </c>
      <c r="V110" s="473" t="s">
        <v>119</v>
      </c>
      <c r="W110" s="474" t="s">
        <v>119</v>
      </c>
      <c r="X110" s="474" t="s">
        <v>119</v>
      </c>
      <c r="Y110" s="475">
        <v>9999</v>
      </c>
      <c r="Z110" s="476">
        <v>0</v>
      </c>
      <c r="AA110" s="472" t="s">
        <v>2043</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90000000900000990000373891</v>
      </c>
      <c r="G111" s="470" t="b">
        <f t="shared" si="41"/>
        <v>1</v>
      </c>
      <c r="H111" s="471">
        <f t="shared" si="42"/>
        <v>101</v>
      </c>
      <c r="I111" s="472" t="s">
        <v>2043</v>
      </c>
      <c r="J111" s="473" t="s">
        <v>119</v>
      </c>
      <c r="K111" s="474" t="s">
        <v>119</v>
      </c>
      <c r="L111" s="474" t="s">
        <v>119</v>
      </c>
      <c r="M111" s="475">
        <v>9999</v>
      </c>
      <c r="N111" s="476">
        <v>0</v>
      </c>
      <c r="O111" s="472" t="s">
        <v>2043</v>
      </c>
      <c r="P111" s="473" t="s">
        <v>119</v>
      </c>
      <c r="Q111" s="474" t="s">
        <v>119</v>
      </c>
      <c r="R111" s="474" t="s">
        <v>119</v>
      </c>
      <c r="S111" s="475">
        <v>9999</v>
      </c>
      <c r="T111" s="476">
        <v>0</v>
      </c>
      <c r="U111" s="472" t="s">
        <v>2043</v>
      </c>
      <c r="V111" s="473" t="s">
        <v>119</v>
      </c>
      <c r="W111" s="474" t="s">
        <v>119</v>
      </c>
      <c r="X111" s="474" t="s">
        <v>119</v>
      </c>
      <c r="Y111" s="475">
        <v>9999</v>
      </c>
      <c r="Z111" s="476">
        <v>0</v>
      </c>
      <c r="AA111" s="472" t="s">
        <v>2043</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90000000900000990000466910</v>
      </c>
      <c r="G112" s="470" t="b">
        <f t="shared" si="41"/>
        <v>1</v>
      </c>
      <c r="H112" s="471">
        <f t="shared" si="42"/>
        <v>102</v>
      </c>
      <c r="I112" s="472" t="s">
        <v>2043</v>
      </c>
      <c r="J112" s="473" t="s">
        <v>119</v>
      </c>
      <c r="K112" s="474" t="s">
        <v>119</v>
      </c>
      <c r="L112" s="474" t="s">
        <v>119</v>
      </c>
      <c r="M112" s="475">
        <v>9999</v>
      </c>
      <c r="N112" s="476">
        <v>0</v>
      </c>
      <c r="O112" s="472" t="s">
        <v>2043</v>
      </c>
      <c r="P112" s="473" t="s">
        <v>119</v>
      </c>
      <c r="Q112" s="474" t="s">
        <v>119</v>
      </c>
      <c r="R112" s="474" t="s">
        <v>119</v>
      </c>
      <c r="S112" s="475">
        <v>9999</v>
      </c>
      <c r="T112" s="476">
        <v>0</v>
      </c>
      <c r="U112" s="472" t="s">
        <v>2043</v>
      </c>
      <c r="V112" s="473" t="s">
        <v>119</v>
      </c>
      <c r="W112" s="474" t="s">
        <v>119</v>
      </c>
      <c r="X112" s="474" t="s">
        <v>119</v>
      </c>
      <c r="Y112" s="475">
        <v>9999</v>
      </c>
      <c r="Z112" s="476">
        <v>0</v>
      </c>
      <c r="AA112" s="472" t="s">
        <v>2043</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90000000900000990000994645</v>
      </c>
      <c r="G113" s="470" t="b">
        <f t="shared" si="41"/>
        <v>1</v>
      </c>
      <c r="H113" s="471">
        <f t="shared" si="42"/>
        <v>103</v>
      </c>
      <c r="I113" s="472" t="s">
        <v>2043</v>
      </c>
      <c r="J113" s="473" t="s">
        <v>119</v>
      </c>
      <c r="K113" s="474" t="s">
        <v>119</v>
      </c>
      <c r="L113" s="474" t="s">
        <v>119</v>
      </c>
      <c r="M113" s="475">
        <v>9999</v>
      </c>
      <c r="N113" s="476">
        <v>0</v>
      </c>
      <c r="O113" s="472" t="s">
        <v>2043</v>
      </c>
      <c r="P113" s="473" t="s">
        <v>119</v>
      </c>
      <c r="Q113" s="474" t="s">
        <v>119</v>
      </c>
      <c r="R113" s="474" t="s">
        <v>119</v>
      </c>
      <c r="S113" s="475">
        <v>9999</v>
      </c>
      <c r="T113" s="476">
        <v>0</v>
      </c>
      <c r="U113" s="472" t="s">
        <v>2043</v>
      </c>
      <c r="V113" s="473" t="s">
        <v>119</v>
      </c>
      <c r="W113" s="474" t="s">
        <v>119</v>
      </c>
      <c r="X113" s="474" t="s">
        <v>119</v>
      </c>
      <c r="Y113" s="475">
        <v>9999</v>
      </c>
      <c r="Z113" s="476">
        <v>0</v>
      </c>
      <c r="AA113" s="472" t="s">
        <v>2043</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90000000900000990000927364</v>
      </c>
      <c r="G114" s="470" t="b">
        <f t="shared" si="41"/>
        <v>1</v>
      </c>
      <c r="H114" s="471">
        <f t="shared" si="42"/>
        <v>104</v>
      </c>
      <c r="I114" s="472" t="s">
        <v>2043</v>
      </c>
      <c r="J114" s="473" t="s">
        <v>119</v>
      </c>
      <c r="K114" s="474" t="s">
        <v>119</v>
      </c>
      <c r="L114" s="474" t="s">
        <v>119</v>
      </c>
      <c r="M114" s="475">
        <v>9999</v>
      </c>
      <c r="N114" s="476">
        <v>0</v>
      </c>
      <c r="O114" s="472" t="s">
        <v>2043</v>
      </c>
      <c r="P114" s="473" t="s">
        <v>119</v>
      </c>
      <c r="Q114" s="474" t="s">
        <v>119</v>
      </c>
      <c r="R114" s="474" t="s">
        <v>119</v>
      </c>
      <c r="S114" s="475">
        <v>9999</v>
      </c>
      <c r="T114" s="476">
        <v>0</v>
      </c>
      <c r="U114" s="472" t="s">
        <v>2043</v>
      </c>
      <c r="V114" s="473" t="s">
        <v>119</v>
      </c>
      <c r="W114" s="474" t="s">
        <v>119</v>
      </c>
      <c r="X114" s="474" t="s">
        <v>119</v>
      </c>
      <c r="Y114" s="475">
        <v>9999</v>
      </c>
      <c r="Z114" s="476">
        <v>0</v>
      </c>
      <c r="AA114" s="472" t="s">
        <v>2043</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90000000900000990000482745</v>
      </c>
      <c r="G115" s="470" t="b">
        <f t="shared" si="41"/>
        <v>1</v>
      </c>
      <c r="H115" s="471">
        <f t="shared" si="42"/>
        <v>105</v>
      </c>
      <c r="I115" s="472" t="s">
        <v>2043</v>
      </c>
      <c r="J115" s="473" t="s">
        <v>119</v>
      </c>
      <c r="K115" s="474" t="s">
        <v>119</v>
      </c>
      <c r="L115" s="474" t="s">
        <v>119</v>
      </c>
      <c r="M115" s="475">
        <v>9999</v>
      </c>
      <c r="N115" s="476">
        <v>0</v>
      </c>
      <c r="O115" s="472" t="s">
        <v>2043</v>
      </c>
      <c r="P115" s="473" t="s">
        <v>119</v>
      </c>
      <c r="Q115" s="474" t="s">
        <v>119</v>
      </c>
      <c r="R115" s="474" t="s">
        <v>119</v>
      </c>
      <c r="S115" s="475">
        <v>9999</v>
      </c>
      <c r="T115" s="476">
        <v>0</v>
      </c>
      <c r="U115" s="472" t="s">
        <v>2043</v>
      </c>
      <c r="V115" s="473" t="s">
        <v>119</v>
      </c>
      <c r="W115" s="474" t="s">
        <v>119</v>
      </c>
      <c r="X115" s="474" t="s">
        <v>119</v>
      </c>
      <c r="Y115" s="475">
        <v>9999</v>
      </c>
      <c r="Z115" s="476">
        <v>0</v>
      </c>
      <c r="AA115" s="472" t="s">
        <v>2043</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90000000900000990000196892</v>
      </c>
      <c r="G116" s="470" t="b">
        <f t="shared" si="41"/>
        <v>1</v>
      </c>
      <c r="H116" s="471">
        <f t="shared" si="42"/>
        <v>106</v>
      </c>
      <c r="I116" s="472" t="s">
        <v>2043</v>
      </c>
      <c r="J116" s="473" t="s">
        <v>119</v>
      </c>
      <c r="K116" s="474" t="s">
        <v>119</v>
      </c>
      <c r="L116" s="474" t="s">
        <v>119</v>
      </c>
      <c r="M116" s="475">
        <v>9999</v>
      </c>
      <c r="N116" s="476">
        <v>0</v>
      </c>
      <c r="O116" s="472" t="s">
        <v>2043</v>
      </c>
      <c r="P116" s="473" t="s">
        <v>119</v>
      </c>
      <c r="Q116" s="474" t="s">
        <v>119</v>
      </c>
      <c r="R116" s="474" t="s">
        <v>119</v>
      </c>
      <c r="S116" s="475">
        <v>9999</v>
      </c>
      <c r="T116" s="476">
        <v>0</v>
      </c>
      <c r="U116" s="472" t="s">
        <v>2043</v>
      </c>
      <c r="V116" s="473" t="s">
        <v>119</v>
      </c>
      <c r="W116" s="474" t="s">
        <v>119</v>
      </c>
      <c r="X116" s="474" t="s">
        <v>119</v>
      </c>
      <c r="Y116" s="475">
        <v>9999</v>
      </c>
      <c r="Z116" s="476">
        <v>0</v>
      </c>
      <c r="AA116" s="472" t="s">
        <v>2043</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90000000900000990000029533</v>
      </c>
      <c r="G117" s="470" t="b">
        <f t="shared" si="41"/>
        <v>1</v>
      </c>
      <c r="H117" s="471">
        <f t="shared" si="42"/>
        <v>107</v>
      </c>
      <c r="I117" s="472" t="s">
        <v>2043</v>
      </c>
      <c r="J117" s="473" t="s">
        <v>119</v>
      </c>
      <c r="K117" s="474" t="s">
        <v>119</v>
      </c>
      <c r="L117" s="474" t="s">
        <v>119</v>
      </c>
      <c r="M117" s="475">
        <v>9999</v>
      </c>
      <c r="N117" s="476">
        <v>0</v>
      </c>
      <c r="O117" s="472" t="s">
        <v>2043</v>
      </c>
      <c r="P117" s="473" t="s">
        <v>119</v>
      </c>
      <c r="Q117" s="474" t="s">
        <v>119</v>
      </c>
      <c r="R117" s="474" t="s">
        <v>119</v>
      </c>
      <c r="S117" s="475">
        <v>9999</v>
      </c>
      <c r="T117" s="476">
        <v>0</v>
      </c>
      <c r="U117" s="472" t="s">
        <v>2043</v>
      </c>
      <c r="V117" s="473" t="s">
        <v>119</v>
      </c>
      <c r="W117" s="474" t="s">
        <v>119</v>
      </c>
      <c r="X117" s="474" t="s">
        <v>119</v>
      </c>
      <c r="Y117" s="475">
        <v>9999</v>
      </c>
      <c r="Z117" s="476">
        <v>0</v>
      </c>
      <c r="AA117" s="472" t="s">
        <v>2043</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90000000900000990000475145</v>
      </c>
      <c r="G118" s="470" t="b">
        <f t="shared" si="41"/>
        <v>1</v>
      </c>
      <c r="H118" s="471">
        <f t="shared" si="42"/>
        <v>108</v>
      </c>
      <c r="I118" s="472" t="s">
        <v>2043</v>
      </c>
      <c r="J118" s="473" t="s">
        <v>119</v>
      </c>
      <c r="K118" s="474" t="s">
        <v>119</v>
      </c>
      <c r="L118" s="474" t="s">
        <v>119</v>
      </c>
      <c r="M118" s="475">
        <v>9999</v>
      </c>
      <c r="N118" s="476">
        <v>0</v>
      </c>
      <c r="O118" s="472" t="s">
        <v>2043</v>
      </c>
      <c r="P118" s="473" t="s">
        <v>119</v>
      </c>
      <c r="Q118" s="474" t="s">
        <v>119</v>
      </c>
      <c r="R118" s="474" t="s">
        <v>119</v>
      </c>
      <c r="S118" s="475">
        <v>9999</v>
      </c>
      <c r="T118" s="476">
        <v>0</v>
      </c>
      <c r="U118" s="472" t="s">
        <v>2043</v>
      </c>
      <c r="V118" s="473" t="s">
        <v>119</v>
      </c>
      <c r="W118" s="474" t="s">
        <v>119</v>
      </c>
      <c r="X118" s="474" t="s">
        <v>119</v>
      </c>
      <c r="Y118" s="475">
        <v>9999</v>
      </c>
      <c r="Z118" s="476">
        <v>0</v>
      </c>
      <c r="AA118" s="472" t="s">
        <v>2043</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03">
        <f t="shared" si="35"/>
        <v>0</v>
      </c>
      <c r="B119" s="403">
        <f t="shared" si="36"/>
        <v>0</v>
      </c>
      <c r="C119" s="403">
        <f t="shared" si="37"/>
        <v>0</v>
      </c>
      <c r="D119" s="403">
        <f t="shared" si="38"/>
        <v>99999</v>
      </c>
      <c r="E119" s="433">
        <f t="shared" si="39"/>
        <v>9999</v>
      </c>
      <c r="F119" s="434" t="str">
        <f t="shared" ca="1" si="40"/>
        <v>90000000900000990000417287</v>
      </c>
      <c r="G119" s="470" t="b">
        <f t="shared" si="41"/>
        <v>1</v>
      </c>
      <c r="H119" s="471">
        <f t="shared" si="42"/>
        <v>109</v>
      </c>
      <c r="I119" s="472" t="s">
        <v>2043</v>
      </c>
      <c r="J119" s="473" t="s">
        <v>119</v>
      </c>
      <c r="K119" s="474" t="s">
        <v>119</v>
      </c>
      <c r="L119" s="474" t="s">
        <v>119</v>
      </c>
      <c r="M119" s="475">
        <v>9999</v>
      </c>
      <c r="N119" s="476">
        <v>0</v>
      </c>
      <c r="O119" s="472" t="s">
        <v>2043</v>
      </c>
      <c r="P119" s="473" t="s">
        <v>119</v>
      </c>
      <c r="Q119" s="474" t="s">
        <v>119</v>
      </c>
      <c r="R119" s="474" t="s">
        <v>119</v>
      </c>
      <c r="S119" s="475">
        <v>9999</v>
      </c>
      <c r="T119" s="476">
        <v>0</v>
      </c>
      <c r="U119" s="472" t="s">
        <v>2043</v>
      </c>
      <c r="V119" s="473" t="s">
        <v>119</v>
      </c>
      <c r="W119" s="474" t="s">
        <v>119</v>
      </c>
      <c r="X119" s="474" t="s">
        <v>119</v>
      </c>
      <c r="Y119" s="475">
        <v>9999</v>
      </c>
      <c r="Z119" s="476">
        <v>0</v>
      </c>
      <c r="AA119" s="472" t="s">
        <v>2043</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90000000900000990000776717</v>
      </c>
      <c r="G120" s="470" t="b">
        <f t="shared" si="41"/>
        <v>1</v>
      </c>
      <c r="H120" s="471">
        <f t="shared" si="42"/>
        <v>110</v>
      </c>
      <c r="I120" s="472" t="s">
        <v>2043</v>
      </c>
      <c r="J120" s="473" t="s">
        <v>119</v>
      </c>
      <c r="K120" s="474" t="s">
        <v>119</v>
      </c>
      <c r="L120" s="474" t="s">
        <v>119</v>
      </c>
      <c r="M120" s="475">
        <v>9999</v>
      </c>
      <c r="N120" s="476">
        <v>0</v>
      </c>
      <c r="O120" s="472" t="s">
        <v>2043</v>
      </c>
      <c r="P120" s="473" t="s">
        <v>119</v>
      </c>
      <c r="Q120" s="474" t="s">
        <v>119</v>
      </c>
      <c r="R120" s="474" t="s">
        <v>119</v>
      </c>
      <c r="S120" s="475">
        <v>9999</v>
      </c>
      <c r="T120" s="476">
        <v>0</v>
      </c>
      <c r="U120" s="472" t="s">
        <v>2043</v>
      </c>
      <c r="V120" s="473" t="s">
        <v>119</v>
      </c>
      <c r="W120" s="474" t="s">
        <v>119</v>
      </c>
      <c r="X120" s="474" t="s">
        <v>119</v>
      </c>
      <c r="Y120" s="475">
        <v>9999</v>
      </c>
      <c r="Z120" s="476">
        <v>0</v>
      </c>
      <c r="AA120" s="472" t="s">
        <v>2043</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90000000900000990000634853</v>
      </c>
      <c r="G121" s="470" t="b">
        <f t="shared" si="41"/>
        <v>1</v>
      </c>
      <c r="H121" s="471">
        <f t="shared" si="42"/>
        <v>111</v>
      </c>
      <c r="I121" s="472" t="s">
        <v>2043</v>
      </c>
      <c r="J121" s="473" t="s">
        <v>119</v>
      </c>
      <c r="K121" s="474" t="s">
        <v>119</v>
      </c>
      <c r="L121" s="474" t="s">
        <v>119</v>
      </c>
      <c r="M121" s="475">
        <v>9999</v>
      </c>
      <c r="N121" s="476">
        <v>0</v>
      </c>
      <c r="O121" s="472" t="s">
        <v>2043</v>
      </c>
      <c r="P121" s="473" t="s">
        <v>119</v>
      </c>
      <c r="Q121" s="474" t="s">
        <v>119</v>
      </c>
      <c r="R121" s="474" t="s">
        <v>119</v>
      </c>
      <c r="S121" s="475">
        <v>9999</v>
      </c>
      <c r="T121" s="476">
        <v>0</v>
      </c>
      <c r="U121" s="472" t="s">
        <v>2043</v>
      </c>
      <c r="V121" s="473" t="s">
        <v>119</v>
      </c>
      <c r="W121" s="474" t="s">
        <v>119</v>
      </c>
      <c r="X121" s="474" t="s">
        <v>119</v>
      </c>
      <c r="Y121" s="475">
        <v>9999</v>
      </c>
      <c r="Z121" s="476">
        <v>0</v>
      </c>
      <c r="AA121" s="472" t="s">
        <v>2043</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90000000900000990000186934</v>
      </c>
      <c r="G122" s="470" t="b">
        <f t="shared" si="41"/>
        <v>1</v>
      </c>
      <c r="H122" s="471">
        <f t="shared" si="42"/>
        <v>112</v>
      </c>
      <c r="I122" s="472" t="s">
        <v>2043</v>
      </c>
      <c r="J122" s="473" t="s">
        <v>119</v>
      </c>
      <c r="K122" s="474" t="s">
        <v>119</v>
      </c>
      <c r="L122" s="474" t="s">
        <v>119</v>
      </c>
      <c r="M122" s="475">
        <v>9999</v>
      </c>
      <c r="N122" s="476">
        <v>0</v>
      </c>
      <c r="O122" s="472" t="s">
        <v>2043</v>
      </c>
      <c r="P122" s="473" t="s">
        <v>119</v>
      </c>
      <c r="Q122" s="474" t="s">
        <v>119</v>
      </c>
      <c r="R122" s="474" t="s">
        <v>119</v>
      </c>
      <c r="S122" s="475">
        <v>9999</v>
      </c>
      <c r="T122" s="476">
        <v>0</v>
      </c>
      <c r="U122" s="472" t="s">
        <v>2043</v>
      </c>
      <c r="V122" s="473" t="s">
        <v>119</v>
      </c>
      <c r="W122" s="474" t="s">
        <v>119</v>
      </c>
      <c r="X122" s="474" t="s">
        <v>119</v>
      </c>
      <c r="Y122" s="475">
        <v>9999</v>
      </c>
      <c r="Z122" s="476">
        <v>0</v>
      </c>
      <c r="AA122" s="472" t="s">
        <v>2043</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90000000900000990000320832</v>
      </c>
      <c r="G123" s="470" t="b">
        <f t="shared" si="41"/>
        <v>1</v>
      </c>
      <c r="H123" s="471">
        <f t="shared" si="42"/>
        <v>113</v>
      </c>
      <c r="I123" s="472" t="s">
        <v>2043</v>
      </c>
      <c r="J123" s="473" t="s">
        <v>119</v>
      </c>
      <c r="K123" s="474" t="s">
        <v>119</v>
      </c>
      <c r="L123" s="474" t="s">
        <v>119</v>
      </c>
      <c r="M123" s="475">
        <v>9999</v>
      </c>
      <c r="N123" s="476">
        <v>0</v>
      </c>
      <c r="O123" s="472" t="s">
        <v>2043</v>
      </c>
      <c r="P123" s="473" t="s">
        <v>119</v>
      </c>
      <c r="Q123" s="474" t="s">
        <v>119</v>
      </c>
      <c r="R123" s="474" t="s">
        <v>119</v>
      </c>
      <c r="S123" s="475">
        <v>9999</v>
      </c>
      <c r="T123" s="476">
        <v>0</v>
      </c>
      <c r="U123" s="472" t="s">
        <v>2043</v>
      </c>
      <c r="V123" s="473" t="s">
        <v>119</v>
      </c>
      <c r="W123" s="474" t="s">
        <v>119</v>
      </c>
      <c r="X123" s="474" t="s">
        <v>119</v>
      </c>
      <c r="Y123" s="475">
        <v>9999</v>
      </c>
      <c r="Z123" s="476">
        <v>0</v>
      </c>
      <c r="AA123" s="472" t="s">
        <v>2043</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90000000900000990000515642</v>
      </c>
      <c r="G124" s="470" t="b">
        <f t="shared" si="41"/>
        <v>1</v>
      </c>
      <c r="H124" s="471">
        <f t="shared" si="42"/>
        <v>114</v>
      </c>
      <c r="I124" s="472" t="s">
        <v>2043</v>
      </c>
      <c r="J124" s="473" t="s">
        <v>119</v>
      </c>
      <c r="K124" s="474" t="s">
        <v>119</v>
      </c>
      <c r="L124" s="474" t="s">
        <v>119</v>
      </c>
      <c r="M124" s="475">
        <v>9999</v>
      </c>
      <c r="N124" s="476">
        <v>0</v>
      </c>
      <c r="O124" s="472" t="s">
        <v>2043</v>
      </c>
      <c r="P124" s="473" t="s">
        <v>119</v>
      </c>
      <c r="Q124" s="474" t="s">
        <v>119</v>
      </c>
      <c r="R124" s="474" t="s">
        <v>119</v>
      </c>
      <c r="S124" s="475">
        <v>9999</v>
      </c>
      <c r="T124" s="476">
        <v>0</v>
      </c>
      <c r="U124" s="472" t="s">
        <v>2043</v>
      </c>
      <c r="V124" s="473" t="s">
        <v>119</v>
      </c>
      <c r="W124" s="474" t="s">
        <v>119</v>
      </c>
      <c r="X124" s="474" t="s">
        <v>119</v>
      </c>
      <c r="Y124" s="475">
        <v>9999</v>
      </c>
      <c r="Z124" s="476">
        <v>0</v>
      </c>
      <c r="AA124" s="472" t="s">
        <v>2043</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90000000900000990000860859</v>
      </c>
      <c r="G125" s="470" t="b">
        <f t="shared" si="41"/>
        <v>1</v>
      </c>
      <c r="H125" s="471">
        <f t="shared" si="42"/>
        <v>115</v>
      </c>
      <c r="I125" s="472" t="s">
        <v>2043</v>
      </c>
      <c r="J125" s="473" t="s">
        <v>119</v>
      </c>
      <c r="K125" s="474" t="s">
        <v>119</v>
      </c>
      <c r="L125" s="474" t="s">
        <v>119</v>
      </c>
      <c r="M125" s="475">
        <v>9999</v>
      </c>
      <c r="N125" s="476">
        <v>0</v>
      </c>
      <c r="O125" s="472" t="s">
        <v>2043</v>
      </c>
      <c r="P125" s="473" t="s">
        <v>119</v>
      </c>
      <c r="Q125" s="474" t="s">
        <v>119</v>
      </c>
      <c r="R125" s="474" t="s">
        <v>119</v>
      </c>
      <c r="S125" s="475">
        <v>9999</v>
      </c>
      <c r="T125" s="476">
        <v>0</v>
      </c>
      <c r="U125" s="472" t="s">
        <v>2043</v>
      </c>
      <c r="V125" s="473" t="s">
        <v>119</v>
      </c>
      <c r="W125" s="474" t="s">
        <v>119</v>
      </c>
      <c r="X125" s="474" t="s">
        <v>119</v>
      </c>
      <c r="Y125" s="475">
        <v>9999</v>
      </c>
      <c r="Z125" s="476">
        <v>0</v>
      </c>
      <c r="AA125" s="472" t="s">
        <v>2043</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90000000900000990000355264</v>
      </c>
      <c r="G126" s="470" t="b">
        <f t="shared" si="41"/>
        <v>1</v>
      </c>
      <c r="H126" s="471">
        <f t="shared" si="42"/>
        <v>116</v>
      </c>
      <c r="I126" s="472" t="s">
        <v>2043</v>
      </c>
      <c r="J126" s="473" t="s">
        <v>119</v>
      </c>
      <c r="K126" s="474" t="s">
        <v>119</v>
      </c>
      <c r="L126" s="474" t="s">
        <v>119</v>
      </c>
      <c r="M126" s="475">
        <v>9999</v>
      </c>
      <c r="N126" s="476">
        <v>0</v>
      </c>
      <c r="O126" s="472" t="s">
        <v>2043</v>
      </c>
      <c r="P126" s="473" t="s">
        <v>119</v>
      </c>
      <c r="Q126" s="474" t="s">
        <v>119</v>
      </c>
      <c r="R126" s="474" t="s">
        <v>119</v>
      </c>
      <c r="S126" s="475">
        <v>9999</v>
      </c>
      <c r="T126" s="476">
        <v>0</v>
      </c>
      <c r="U126" s="472" t="s">
        <v>2043</v>
      </c>
      <c r="V126" s="473" t="s">
        <v>119</v>
      </c>
      <c r="W126" s="474" t="s">
        <v>119</v>
      </c>
      <c r="X126" s="474" t="s">
        <v>119</v>
      </c>
      <c r="Y126" s="475">
        <v>9999</v>
      </c>
      <c r="Z126" s="476">
        <v>0</v>
      </c>
      <c r="AA126" s="472" t="s">
        <v>2043</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90000000900000990000529001</v>
      </c>
      <c r="G127" s="470" t="b">
        <f t="shared" si="41"/>
        <v>1</v>
      </c>
      <c r="H127" s="471">
        <f t="shared" si="42"/>
        <v>117</v>
      </c>
      <c r="I127" s="472" t="s">
        <v>2043</v>
      </c>
      <c r="J127" s="473" t="s">
        <v>119</v>
      </c>
      <c r="K127" s="474" t="s">
        <v>119</v>
      </c>
      <c r="L127" s="474" t="s">
        <v>119</v>
      </c>
      <c r="M127" s="475">
        <v>9999</v>
      </c>
      <c r="N127" s="476">
        <v>0</v>
      </c>
      <c r="O127" s="472" t="s">
        <v>2043</v>
      </c>
      <c r="P127" s="473" t="s">
        <v>119</v>
      </c>
      <c r="Q127" s="474" t="s">
        <v>119</v>
      </c>
      <c r="R127" s="474" t="s">
        <v>119</v>
      </c>
      <c r="S127" s="475">
        <v>9999</v>
      </c>
      <c r="T127" s="476">
        <v>0</v>
      </c>
      <c r="U127" s="472" t="s">
        <v>2043</v>
      </c>
      <c r="V127" s="473" t="s">
        <v>119</v>
      </c>
      <c r="W127" s="474" t="s">
        <v>119</v>
      </c>
      <c r="X127" s="474" t="s">
        <v>119</v>
      </c>
      <c r="Y127" s="475">
        <v>9999</v>
      </c>
      <c r="Z127" s="476">
        <v>0</v>
      </c>
      <c r="AA127" s="472" t="s">
        <v>2043</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90000000900000990000446205</v>
      </c>
      <c r="G128" s="470" t="b">
        <f t="shared" si="41"/>
        <v>1</v>
      </c>
      <c r="H128" s="471">
        <f t="shared" si="42"/>
        <v>118</v>
      </c>
      <c r="I128" s="472" t="s">
        <v>2043</v>
      </c>
      <c r="J128" s="473" t="s">
        <v>119</v>
      </c>
      <c r="K128" s="474" t="s">
        <v>119</v>
      </c>
      <c r="L128" s="474" t="s">
        <v>119</v>
      </c>
      <c r="M128" s="475">
        <v>9999</v>
      </c>
      <c r="N128" s="476">
        <v>0</v>
      </c>
      <c r="O128" s="472" t="s">
        <v>2043</v>
      </c>
      <c r="P128" s="473" t="s">
        <v>119</v>
      </c>
      <c r="Q128" s="474" t="s">
        <v>119</v>
      </c>
      <c r="R128" s="474" t="s">
        <v>119</v>
      </c>
      <c r="S128" s="475">
        <v>9999</v>
      </c>
      <c r="T128" s="476">
        <v>0</v>
      </c>
      <c r="U128" s="472" t="s">
        <v>2043</v>
      </c>
      <c r="V128" s="473" t="s">
        <v>119</v>
      </c>
      <c r="W128" s="474" t="s">
        <v>119</v>
      </c>
      <c r="X128" s="474" t="s">
        <v>119</v>
      </c>
      <c r="Y128" s="475">
        <v>9999</v>
      </c>
      <c r="Z128" s="476">
        <v>0</v>
      </c>
      <c r="AA128" s="472" t="s">
        <v>2043</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90000000900000990000468320</v>
      </c>
      <c r="G129" s="470" t="b">
        <f t="shared" si="41"/>
        <v>1</v>
      </c>
      <c r="H129" s="471">
        <f t="shared" si="42"/>
        <v>119</v>
      </c>
      <c r="I129" s="472" t="s">
        <v>2043</v>
      </c>
      <c r="J129" s="473" t="s">
        <v>119</v>
      </c>
      <c r="K129" s="474" t="s">
        <v>119</v>
      </c>
      <c r="L129" s="474" t="s">
        <v>119</v>
      </c>
      <c r="M129" s="475">
        <v>9999</v>
      </c>
      <c r="N129" s="476">
        <v>0</v>
      </c>
      <c r="O129" s="472" t="s">
        <v>2043</v>
      </c>
      <c r="P129" s="473" t="s">
        <v>119</v>
      </c>
      <c r="Q129" s="474" t="s">
        <v>119</v>
      </c>
      <c r="R129" s="474" t="s">
        <v>119</v>
      </c>
      <c r="S129" s="475">
        <v>9999</v>
      </c>
      <c r="T129" s="476">
        <v>0</v>
      </c>
      <c r="U129" s="472" t="s">
        <v>2043</v>
      </c>
      <c r="V129" s="473" t="s">
        <v>119</v>
      </c>
      <c r="W129" s="474" t="s">
        <v>119</v>
      </c>
      <c r="X129" s="474" t="s">
        <v>119</v>
      </c>
      <c r="Y129" s="475">
        <v>9999</v>
      </c>
      <c r="Z129" s="476">
        <v>0</v>
      </c>
      <c r="AA129" s="472" t="s">
        <v>2043</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90000000900000990000564177</v>
      </c>
      <c r="G130" s="470" t="b">
        <f t="shared" si="41"/>
        <v>1</v>
      </c>
      <c r="H130" s="471">
        <f t="shared" si="42"/>
        <v>120</v>
      </c>
      <c r="I130" s="472" t="s">
        <v>2043</v>
      </c>
      <c r="J130" s="473" t="s">
        <v>119</v>
      </c>
      <c r="K130" s="474" t="s">
        <v>119</v>
      </c>
      <c r="L130" s="474" t="s">
        <v>119</v>
      </c>
      <c r="M130" s="475">
        <v>9999</v>
      </c>
      <c r="N130" s="476">
        <v>0</v>
      </c>
      <c r="O130" s="472" t="s">
        <v>2043</v>
      </c>
      <c r="P130" s="473" t="s">
        <v>119</v>
      </c>
      <c r="Q130" s="474" t="s">
        <v>119</v>
      </c>
      <c r="R130" s="474" t="s">
        <v>119</v>
      </c>
      <c r="S130" s="475">
        <v>9999</v>
      </c>
      <c r="T130" s="476">
        <v>0</v>
      </c>
      <c r="U130" s="472" t="s">
        <v>2043</v>
      </c>
      <c r="V130" s="473" t="s">
        <v>119</v>
      </c>
      <c r="W130" s="474" t="s">
        <v>119</v>
      </c>
      <c r="X130" s="474" t="s">
        <v>119</v>
      </c>
      <c r="Y130" s="475">
        <v>9999</v>
      </c>
      <c r="Z130" s="476">
        <v>0</v>
      </c>
      <c r="AA130" s="472" t="s">
        <v>2043</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90000000900000990000191527</v>
      </c>
      <c r="G131" s="470" t="b">
        <f t="shared" si="41"/>
        <v>1</v>
      </c>
      <c r="H131" s="471">
        <f t="shared" si="42"/>
        <v>121</v>
      </c>
      <c r="I131" s="472" t="s">
        <v>2043</v>
      </c>
      <c r="J131" s="473" t="s">
        <v>119</v>
      </c>
      <c r="K131" s="474" t="s">
        <v>119</v>
      </c>
      <c r="L131" s="474" t="s">
        <v>119</v>
      </c>
      <c r="M131" s="475">
        <v>9999</v>
      </c>
      <c r="N131" s="476">
        <v>0</v>
      </c>
      <c r="O131" s="472" t="s">
        <v>2043</v>
      </c>
      <c r="P131" s="473" t="s">
        <v>119</v>
      </c>
      <c r="Q131" s="474" t="s">
        <v>119</v>
      </c>
      <c r="R131" s="474" t="s">
        <v>119</v>
      </c>
      <c r="S131" s="475">
        <v>9999</v>
      </c>
      <c r="T131" s="476">
        <v>0</v>
      </c>
      <c r="U131" s="472" t="s">
        <v>2043</v>
      </c>
      <c r="V131" s="473" t="s">
        <v>119</v>
      </c>
      <c r="W131" s="474" t="s">
        <v>119</v>
      </c>
      <c r="X131" s="474" t="s">
        <v>119</v>
      </c>
      <c r="Y131" s="475">
        <v>9999</v>
      </c>
      <c r="Z131" s="476">
        <v>0</v>
      </c>
      <c r="AA131" s="472" t="s">
        <v>2043</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90000000900000990000246934</v>
      </c>
      <c r="G132" s="470" t="b">
        <f t="shared" si="41"/>
        <v>1</v>
      </c>
      <c r="H132" s="471">
        <f t="shared" si="42"/>
        <v>122</v>
      </c>
      <c r="I132" s="472" t="s">
        <v>2043</v>
      </c>
      <c r="J132" s="473" t="s">
        <v>119</v>
      </c>
      <c r="K132" s="474" t="s">
        <v>119</v>
      </c>
      <c r="L132" s="474" t="s">
        <v>119</v>
      </c>
      <c r="M132" s="475">
        <v>9999</v>
      </c>
      <c r="N132" s="476">
        <v>0</v>
      </c>
      <c r="O132" s="472" t="s">
        <v>2043</v>
      </c>
      <c r="P132" s="473" t="s">
        <v>119</v>
      </c>
      <c r="Q132" s="474" t="s">
        <v>119</v>
      </c>
      <c r="R132" s="474" t="s">
        <v>119</v>
      </c>
      <c r="S132" s="475">
        <v>9999</v>
      </c>
      <c r="T132" s="476">
        <v>0</v>
      </c>
      <c r="U132" s="472" t="s">
        <v>2043</v>
      </c>
      <c r="V132" s="473" t="s">
        <v>119</v>
      </c>
      <c r="W132" s="474" t="s">
        <v>119</v>
      </c>
      <c r="X132" s="474" t="s">
        <v>119</v>
      </c>
      <c r="Y132" s="475">
        <v>9999</v>
      </c>
      <c r="Z132" s="476">
        <v>0</v>
      </c>
      <c r="AA132" s="472" t="s">
        <v>2043</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90000000900000990000106122</v>
      </c>
      <c r="G133" s="470" t="b">
        <f t="shared" si="41"/>
        <v>1</v>
      </c>
      <c r="H133" s="471">
        <f t="shared" si="42"/>
        <v>123</v>
      </c>
      <c r="I133" s="472" t="s">
        <v>2043</v>
      </c>
      <c r="J133" s="473" t="s">
        <v>119</v>
      </c>
      <c r="K133" s="474" t="s">
        <v>119</v>
      </c>
      <c r="L133" s="474" t="s">
        <v>119</v>
      </c>
      <c r="M133" s="475">
        <v>9999</v>
      </c>
      <c r="N133" s="476">
        <v>0</v>
      </c>
      <c r="O133" s="472" t="s">
        <v>2043</v>
      </c>
      <c r="P133" s="473" t="s">
        <v>119</v>
      </c>
      <c r="Q133" s="474" t="s">
        <v>119</v>
      </c>
      <c r="R133" s="474" t="s">
        <v>119</v>
      </c>
      <c r="S133" s="475">
        <v>9999</v>
      </c>
      <c r="T133" s="476">
        <v>0</v>
      </c>
      <c r="U133" s="472" t="s">
        <v>2043</v>
      </c>
      <c r="V133" s="473" t="s">
        <v>119</v>
      </c>
      <c r="W133" s="474" t="s">
        <v>119</v>
      </c>
      <c r="X133" s="474" t="s">
        <v>119</v>
      </c>
      <c r="Y133" s="475">
        <v>9999</v>
      </c>
      <c r="Z133" s="476">
        <v>0</v>
      </c>
      <c r="AA133" s="472" t="s">
        <v>2043</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90000000900000990000858507</v>
      </c>
      <c r="G134" s="470" t="b">
        <f t="shared" si="41"/>
        <v>1</v>
      </c>
      <c r="H134" s="471">
        <f t="shared" si="42"/>
        <v>124</v>
      </c>
      <c r="I134" s="472" t="s">
        <v>2043</v>
      </c>
      <c r="J134" s="473" t="s">
        <v>119</v>
      </c>
      <c r="K134" s="474" t="s">
        <v>119</v>
      </c>
      <c r="L134" s="474" t="s">
        <v>119</v>
      </c>
      <c r="M134" s="475">
        <v>9999</v>
      </c>
      <c r="N134" s="476">
        <v>0</v>
      </c>
      <c r="O134" s="472" t="s">
        <v>2043</v>
      </c>
      <c r="P134" s="473" t="s">
        <v>119</v>
      </c>
      <c r="Q134" s="474" t="s">
        <v>119</v>
      </c>
      <c r="R134" s="474" t="s">
        <v>119</v>
      </c>
      <c r="S134" s="475">
        <v>9999</v>
      </c>
      <c r="T134" s="476">
        <v>0</v>
      </c>
      <c r="U134" s="472" t="s">
        <v>2043</v>
      </c>
      <c r="V134" s="473" t="s">
        <v>119</v>
      </c>
      <c r="W134" s="474" t="s">
        <v>119</v>
      </c>
      <c r="X134" s="474" t="s">
        <v>119</v>
      </c>
      <c r="Y134" s="475">
        <v>9999</v>
      </c>
      <c r="Z134" s="476">
        <v>0</v>
      </c>
      <c r="AA134" s="472" t="s">
        <v>2043</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90000000900000990000292080</v>
      </c>
      <c r="G135" s="470" t="b">
        <f t="shared" si="41"/>
        <v>1</v>
      </c>
      <c r="H135" s="471">
        <f t="shared" si="42"/>
        <v>125</v>
      </c>
      <c r="I135" s="472" t="s">
        <v>2043</v>
      </c>
      <c r="J135" s="473" t="s">
        <v>119</v>
      </c>
      <c r="K135" s="474" t="s">
        <v>119</v>
      </c>
      <c r="L135" s="474" t="s">
        <v>119</v>
      </c>
      <c r="M135" s="475">
        <v>9999</v>
      </c>
      <c r="N135" s="476">
        <v>0</v>
      </c>
      <c r="O135" s="472" t="s">
        <v>2043</v>
      </c>
      <c r="P135" s="473" t="s">
        <v>119</v>
      </c>
      <c r="Q135" s="474" t="s">
        <v>119</v>
      </c>
      <c r="R135" s="474" t="s">
        <v>119</v>
      </c>
      <c r="S135" s="475">
        <v>9999</v>
      </c>
      <c r="T135" s="476">
        <v>0</v>
      </c>
      <c r="U135" s="472" t="s">
        <v>2043</v>
      </c>
      <c r="V135" s="473" t="s">
        <v>119</v>
      </c>
      <c r="W135" s="474" t="s">
        <v>119</v>
      </c>
      <c r="X135" s="474" t="s">
        <v>119</v>
      </c>
      <c r="Y135" s="475">
        <v>9999</v>
      </c>
      <c r="Z135" s="476">
        <v>0</v>
      </c>
      <c r="AA135" s="472" t="s">
        <v>2043</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90000000900000990000938938</v>
      </c>
      <c r="G136" s="470" t="b">
        <f t="shared" si="41"/>
        <v>1</v>
      </c>
      <c r="H136" s="471">
        <f t="shared" si="42"/>
        <v>126</v>
      </c>
      <c r="I136" s="472" t="s">
        <v>2043</v>
      </c>
      <c r="J136" s="473" t="s">
        <v>119</v>
      </c>
      <c r="K136" s="474" t="s">
        <v>119</v>
      </c>
      <c r="L136" s="474" t="s">
        <v>119</v>
      </c>
      <c r="M136" s="475">
        <v>9999</v>
      </c>
      <c r="N136" s="476">
        <v>0</v>
      </c>
      <c r="O136" s="472" t="s">
        <v>2043</v>
      </c>
      <c r="P136" s="473" t="s">
        <v>119</v>
      </c>
      <c r="Q136" s="474" t="s">
        <v>119</v>
      </c>
      <c r="R136" s="474" t="s">
        <v>119</v>
      </c>
      <c r="S136" s="475">
        <v>9999</v>
      </c>
      <c r="T136" s="476">
        <v>0</v>
      </c>
      <c r="U136" s="472" t="s">
        <v>2043</v>
      </c>
      <c r="V136" s="473" t="s">
        <v>119</v>
      </c>
      <c r="W136" s="474" t="s">
        <v>119</v>
      </c>
      <c r="X136" s="474" t="s">
        <v>119</v>
      </c>
      <c r="Y136" s="475">
        <v>9999</v>
      </c>
      <c r="Z136" s="476">
        <v>0</v>
      </c>
      <c r="AA136" s="472" t="s">
        <v>2043</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90000000900000990000871260</v>
      </c>
      <c r="G137" s="470" t="b">
        <f t="shared" si="41"/>
        <v>1</v>
      </c>
      <c r="H137" s="471">
        <f t="shared" si="42"/>
        <v>127</v>
      </c>
      <c r="I137" s="472" t="s">
        <v>2043</v>
      </c>
      <c r="J137" s="473" t="s">
        <v>119</v>
      </c>
      <c r="K137" s="474" t="s">
        <v>119</v>
      </c>
      <c r="L137" s="474" t="s">
        <v>119</v>
      </c>
      <c r="M137" s="475">
        <v>9999</v>
      </c>
      <c r="N137" s="476">
        <v>0</v>
      </c>
      <c r="O137" s="472" t="s">
        <v>2043</v>
      </c>
      <c r="P137" s="473" t="s">
        <v>119</v>
      </c>
      <c r="Q137" s="474" t="s">
        <v>119</v>
      </c>
      <c r="R137" s="474" t="s">
        <v>119</v>
      </c>
      <c r="S137" s="475">
        <v>9999</v>
      </c>
      <c r="T137" s="476">
        <v>0</v>
      </c>
      <c r="U137" s="472" t="s">
        <v>2043</v>
      </c>
      <c r="V137" s="473" t="s">
        <v>119</v>
      </c>
      <c r="W137" s="474" t="s">
        <v>119</v>
      </c>
      <c r="X137" s="474" t="s">
        <v>119</v>
      </c>
      <c r="Y137" s="475">
        <v>9999</v>
      </c>
      <c r="Z137" s="476">
        <v>0</v>
      </c>
      <c r="AA137" s="472" t="s">
        <v>2043</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90000000900000990000033511</v>
      </c>
      <c r="G138" s="470" t="b">
        <f t="shared" ca="1" si="41"/>
        <v>1</v>
      </c>
      <c r="H138" s="471">
        <f t="shared" si="42"/>
        <v>128</v>
      </c>
      <c r="I138" s="472" t="s">
        <v>2043</v>
      </c>
      <c r="J138" s="473" t="s">
        <v>119</v>
      </c>
      <c r="K138" s="474" t="s">
        <v>119</v>
      </c>
      <c r="L138" s="474" t="s">
        <v>119</v>
      </c>
      <c r="M138" s="475">
        <v>9999</v>
      </c>
      <c r="N138" s="476">
        <v>0</v>
      </c>
      <c r="O138" s="472" t="s">
        <v>2043</v>
      </c>
      <c r="P138" s="473" t="s">
        <v>119</v>
      </c>
      <c r="Q138" s="474" t="s">
        <v>119</v>
      </c>
      <c r="R138" s="474" t="s">
        <v>119</v>
      </c>
      <c r="S138" s="475">
        <v>9999</v>
      </c>
      <c r="T138" s="476">
        <v>0</v>
      </c>
      <c r="U138" s="472" t="s">
        <v>2043</v>
      </c>
      <c r="V138" s="473" t="s">
        <v>119</v>
      </c>
      <c r="W138" s="474" t="s">
        <v>119</v>
      </c>
      <c r="X138" s="474" t="s">
        <v>119</v>
      </c>
      <c r="Y138" s="475">
        <v>9999</v>
      </c>
      <c r="Z138" s="476">
        <v>0</v>
      </c>
      <c r="AA138" s="472" t="s">
        <v>2043</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40" ca="1" si="48">IF(B139=0,0,N139+T139+Z139)</f>
        <v>0</v>
      </c>
      <c r="D139" s="433">
        <f t="shared" ref="D139:D140" ca="1" si="49">IF(B139=0,99999,M139+S139+Y139)</f>
        <v>99999</v>
      </c>
      <c r="E139" s="433">
        <f t="shared" ref="E139:E140" ca="1" si="50">MIN(M139,S139,Y139)</f>
        <v>9999</v>
      </c>
      <c r="F139" s="434" t="str">
        <f t="shared" ref="F139" ca="1" si="51">CONCATENATE(IF(AND($P$4=1,H139&gt;2*$O$7),"0","9"),TEXT(B139,"0"),IF(AND($P$4=1,H139&gt;2*$O$7),"000000",TEXT(1000*C139,"000000")),IF(AND($P$4=1,H139&gt;2*$O$7),"000000",TEXT(999999-D139,"000000")),IF(AND($P$4=1,H139&gt;2*$O$7),"000000",TEXT(999999-E139,"000000")),TEXT(999999*RAND(),"000000"))</f>
        <v>90000000900000990000415577</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ref="O139:O140" ca="1" si="55">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ref="U139:U140" ca="1" si="56">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ref="AA139:AA140" ca="1" si="57">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58">IF(N(H139)&gt;$K$7,"",CONCATENATE(IF($U$7="","",H139&amp;"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90000000900000990000238026</v>
      </c>
      <c r="G140" s="470" t="b">
        <f t="shared" ca="1" si="52"/>
        <v>1</v>
      </c>
      <c r="H140" s="471">
        <f t="shared" si="53"/>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58"/>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2">SUM(AN140:AQ140)</f>
        <v>0</v>
      </c>
    </row>
    <row r="141" spans="1:58" ht="14.25">
      <c r="A141" s="433">
        <f t="shared" ref="A141:A148" ca="1" si="63">IF(OR(LEFT(J141,1)=" ",ISBLANK(J141)),0,1)+IF(OR(LEFT(P141,1)=" ",ISBLANK(P141)),0,1)+IF(OR(LEFT(V141,1)=" ",ISBLANK(V141)),0,1)</f>
        <v>0</v>
      </c>
      <c r="B141" s="433">
        <f t="shared" ref="B141:B148" ca="1" si="64">IF(AND(TYPE(G141&lt;15),G141=FALSE),1,0)</f>
        <v>0</v>
      </c>
      <c r="C141" s="433">
        <f t="shared" ref="C141:C148" ca="1" si="65">IF(B141=0,0,N141+T141+Z141)</f>
        <v>0</v>
      </c>
      <c r="D141" s="433">
        <f t="shared" ref="D141:D148" ca="1" si="66">IF(B141=0,99999,M141+S141+Y141)</f>
        <v>99999</v>
      </c>
      <c r="E141" s="433">
        <f t="shared" ref="E141:E148" ca="1" si="67">MIN(M141,S141,Y141)</f>
        <v>9999</v>
      </c>
      <c r="F141" s="434" t="str">
        <f t="shared" ca="1" si="61"/>
        <v>90000000900000990000157869</v>
      </c>
      <c r="G141" s="470" t="b">
        <f t="shared" ref="G141:G148" ca="1" si="68">IF(OR($K$6&gt;A141,AR141&gt;0),TRUE,FALSE)</f>
        <v>1</v>
      </c>
      <c r="H141" s="471">
        <f t="shared" si="53"/>
        <v>131</v>
      </c>
      <c r="I141" s="472" t="str">
        <f t="shared" ref="I141:I148" ca="1" si="69">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0">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1">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2">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58"/>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2"/>
        <v>0</v>
      </c>
    </row>
    <row r="142" spans="1:58" ht="14.25">
      <c r="A142" s="433">
        <f t="shared" ca="1" si="63"/>
        <v>0</v>
      </c>
      <c r="B142" s="433">
        <f t="shared" ca="1" si="64"/>
        <v>0</v>
      </c>
      <c r="C142" s="433">
        <f t="shared" ca="1" si="65"/>
        <v>0</v>
      </c>
      <c r="D142" s="433">
        <f t="shared" ca="1" si="66"/>
        <v>99999</v>
      </c>
      <c r="E142" s="433">
        <f t="shared" ca="1" si="67"/>
        <v>9999</v>
      </c>
      <c r="F142" s="434" t="str">
        <f t="shared" ca="1" si="61"/>
        <v>90000000900000990000721040</v>
      </c>
      <c r="G142" s="470" t="b">
        <f t="shared" ca="1" si="68"/>
        <v>1</v>
      </c>
      <c r="H142" s="471">
        <f t="shared" si="53"/>
        <v>132</v>
      </c>
      <c r="I142" s="472" t="str">
        <f t="shared" ca="1" si="69"/>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0"/>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1"/>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2"/>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58"/>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2"/>
        <v>0</v>
      </c>
    </row>
    <row r="143" spans="1:58" ht="14.25">
      <c r="A143" s="433">
        <f t="shared" ca="1" si="63"/>
        <v>0</v>
      </c>
      <c r="B143" s="433">
        <f t="shared" ca="1" si="64"/>
        <v>0</v>
      </c>
      <c r="C143" s="433">
        <f t="shared" ca="1" si="65"/>
        <v>0</v>
      </c>
      <c r="D143" s="433">
        <f t="shared" ca="1" si="66"/>
        <v>99999</v>
      </c>
      <c r="E143" s="433">
        <f t="shared" ca="1" si="67"/>
        <v>9999</v>
      </c>
      <c r="F143" s="434" t="str">
        <f t="shared" ca="1" si="61"/>
        <v>90000000900000990000586217</v>
      </c>
      <c r="G143" s="470" t="b">
        <f t="shared" ca="1" si="68"/>
        <v>1</v>
      </c>
      <c r="H143" s="471">
        <f t="shared" si="53"/>
        <v>133</v>
      </c>
      <c r="I143" s="472" t="str">
        <f t="shared" ca="1" si="69"/>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0"/>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1"/>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2"/>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58"/>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2"/>
        <v>0</v>
      </c>
    </row>
    <row r="144" spans="1:58" ht="14.25">
      <c r="A144" s="433">
        <f t="shared" ca="1" si="63"/>
        <v>0</v>
      </c>
      <c r="B144" s="433">
        <f t="shared" ca="1" si="64"/>
        <v>0</v>
      </c>
      <c r="C144" s="433">
        <f t="shared" ca="1" si="65"/>
        <v>0</v>
      </c>
      <c r="D144" s="433">
        <f t="shared" ca="1" si="66"/>
        <v>99999</v>
      </c>
      <c r="E144" s="433">
        <f t="shared" ca="1" si="67"/>
        <v>9999</v>
      </c>
      <c r="F144" s="434" t="str">
        <f t="shared" ca="1" si="61"/>
        <v>90000000900000990000691841</v>
      </c>
      <c r="G144" s="470" t="b">
        <f t="shared" ca="1" si="68"/>
        <v>1</v>
      </c>
      <c r="H144" s="471">
        <f t="shared" si="53"/>
        <v>134</v>
      </c>
      <c r="I144" s="472" t="str">
        <f t="shared" ca="1" si="69"/>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0"/>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1"/>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2"/>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58"/>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2"/>
        <v>0</v>
      </c>
    </row>
    <row r="145" spans="1:44" ht="14.25">
      <c r="A145" s="433">
        <f t="shared" ca="1" si="63"/>
        <v>0</v>
      </c>
      <c r="B145" s="433">
        <f t="shared" ca="1" si="64"/>
        <v>0</v>
      </c>
      <c r="C145" s="433">
        <f t="shared" ca="1" si="65"/>
        <v>0</v>
      </c>
      <c r="D145" s="433">
        <f t="shared" ca="1" si="66"/>
        <v>99999</v>
      </c>
      <c r="E145" s="433">
        <f t="shared" ca="1" si="67"/>
        <v>9999</v>
      </c>
      <c r="F145" s="434" t="str">
        <f t="shared" ca="1" si="61"/>
        <v>90000000900000990000752404</v>
      </c>
      <c r="G145" s="470" t="b">
        <f t="shared" ca="1" si="68"/>
        <v>1</v>
      </c>
      <c r="H145" s="471">
        <f t="shared" si="53"/>
        <v>135</v>
      </c>
      <c r="I145" s="472" t="str">
        <f t="shared" ca="1" si="69"/>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0"/>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1"/>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2"/>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58"/>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2"/>
        <v>0</v>
      </c>
    </row>
    <row r="146" spans="1:44" ht="14.25">
      <c r="A146" s="433">
        <f t="shared" ca="1" si="63"/>
        <v>0</v>
      </c>
      <c r="B146" s="433">
        <f t="shared" ca="1" si="64"/>
        <v>0</v>
      </c>
      <c r="C146" s="433">
        <f t="shared" ca="1" si="65"/>
        <v>0</v>
      </c>
      <c r="D146" s="433">
        <f t="shared" ca="1" si="66"/>
        <v>99999</v>
      </c>
      <c r="E146" s="433">
        <f t="shared" ca="1" si="67"/>
        <v>9999</v>
      </c>
      <c r="F146" s="434" t="str">
        <f t="shared" ca="1" si="61"/>
        <v>90000000900000990000696296</v>
      </c>
      <c r="G146" s="470" t="b">
        <f t="shared" ca="1" si="68"/>
        <v>1</v>
      </c>
      <c r="H146" s="471">
        <f t="shared" si="53"/>
        <v>136</v>
      </c>
      <c r="I146" s="472" t="str">
        <f t="shared" ca="1" si="69"/>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0"/>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1"/>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2"/>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58"/>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2"/>
        <v>0</v>
      </c>
    </row>
    <row r="147" spans="1:44" ht="14.25">
      <c r="A147" s="433">
        <f t="shared" ca="1" si="63"/>
        <v>0</v>
      </c>
      <c r="B147" s="433">
        <f t="shared" ca="1" si="64"/>
        <v>0</v>
      </c>
      <c r="C147" s="433">
        <f t="shared" ca="1" si="65"/>
        <v>0</v>
      </c>
      <c r="D147" s="433">
        <f t="shared" ca="1" si="66"/>
        <v>99999</v>
      </c>
      <c r="E147" s="433">
        <f t="shared" ca="1" si="67"/>
        <v>9999</v>
      </c>
      <c r="F147" s="434" t="str">
        <f t="shared" ca="1" si="61"/>
        <v>90000000900000990000242747</v>
      </c>
      <c r="G147" s="470" t="b">
        <f t="shared" ca="1" si="68"/>
        <v>1</v>
      </c>
      <c r="H147" s="471">
        <f t="shared" si="53"/>
        <v>137</v>
      </c>
      <c r="I147" s="472" t="str">
        <f t="shared" ca="1" si="69"/>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0"/>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1"/>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2"/>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58"/>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2"/>
        <v>0</v>
      </c>
    </row>
    <row r="148" spans="1:44" ht="14.25">
      <c r="A148" s="433">
        <f t="shared" ca="1" si="63"/>
        <v>0</v>
      </c>
      <c r="B148" s="433">
        <f t="shared" ca="1" si="64"/>
        <v>0</v>
      </c>
      <c r="C148" s="433">
        <f t="shared" ca="1" si="65"/>
        <v>0</v>
      </c>
      <c r="D148" s="433">
        <f t="shared" ca="1" si="66"/>
        <v>99999</v>
      </c>
      <c r="E148" s="433">
        <f t="shared" ca="1" si="67"/>
        <v>9999</v>
      </c>
      <c r="F148" s="434" t="str">
        <f t="shared" ca="1" si="61"/>
        <v>90000000900000990000927279</v>
      </c>
      <c r="G148" s="470" t="b">
        <f t="shared" ca="1" si="68"/>
        <v>1</v>
      </c>
      <c r="H148" s="471">
        <f t="shared" si="53"/>
        <v>138</v>
      </c>
      <c r="I148" s="472" t="str">
        <f t="shared" ca="1" si="69"/>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0"/>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1"/>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2"/>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58"/>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2"/>
        <v>0</v>
      </c>
    </row>
  </sheetData>
  <sheetProtection password="CA1B"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6</v>
      </c>
      <c r="E3" s="306" t="s">
        <v>314</v>
      </c>
      <c r="F3" s="308">
        <f ca="1">Start.listina!$K$7</f>
        <v>63</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41.877062500000001</v>
      </c>
      <c r="H1" s="126" t="s">
        <v>307</v>
      </c>
      <c r="I1" s="7"/>
    </row>
    <row r="2" spans="1:9" ht="27.75" customHeight="1" thickBot="1">
      <c r="A2" s="99">
        <f>Start.listina!$K$2</f>
        <v>17074</v>
      </c>
      <c r="B2" s="100" t="str">
        <f>Start.listina!$K$4</f>
        <v>Ostře sledované koule</v>
      </c>
      <c r="C2" s="101"/>
      <c r="D2" s="102"/>
      <c r="E2" s="12" t="str">
        <f>Start.listina!$K$3</f>
        <v>15.04.2017</v>
      </c>
      <c r="G2" s="166">
        <f ca="1">Start.listina!$K$7</f>
        <v>63</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32</v>
      </c>
      <c r="B5" s="14">
        <f>Start.listina!I11</f>
        <v>29062</v>
      </c>
      <c r="C5" s="14" t="str">
        <f>Start.listina!J11</f>
        <v>Vavrovič</v>
      </c>
      <c r="D5" s="14" t="str">
        <f>Start.listina!K11</f>
        <v>Petr ml.</v>
      </c>
      <c r="E5" s="14" t="str">
        <f>Start.listina!L11</f>
        <v>PC Sokol Lipník</v>
      </c>
      <c r="F5" s="14"/>
      <c r="G5" s="123">
        <f ca="1">IF(N(A5)&gt;0,VLOOKUP(A5,Body!$A$4:$F$259,5,0),"")</f>
        <v>41.877062500000001</v>
      </c>
      <c r="H5" s="7">
        <f ca="1">IF(N(A5)&gt;0,VLOOKUP(A5,Body!$A$4:$F$259,6,0),"")</f>
        <v>0</v>
      </c>
      <c r="I5" s="7">
        <f ca="1">IF(N(A5)&gt;0,VLOOKUP(A5,Body!$A$4:$F$259,2,0),"")</f>
        <v>1</v>
      </c>
    </row>
    <row r="6" spans="1:9">
      <c r="A6" s="14"/>
      <c r="B6" s="14">
        <f>Start.listina!O11</f>
        <v>12086</v>
      </c>
      <c r="C6" s="14" t="str">
        <f>Start.listina!P11</f>
        <v>Froněk</v>
      </c>
      <c r="D6" s="14" t="str">
        <f>Start.listina!Q11</f>
        <v>Jiří</v>
      </c>
      <c r="E6" s="14" t="str">
        <f>Start.listina!R11</f>
        <v>CdP Loděnice</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16</v>
      </c>
      <c r="B9" s="14">
        <f>Start.listina!I12</f>
        <v>99510</v>
      </c>
      <c r="C9" s="14" t="str">
        <f>Start.listina!J12</f>
        <v>Demčík</v>
      </c>
      <c r="D9" s="14" t="str">
        <f>Start.listina!K12</f>
        <v>Milan St.</v>
      </c>
      <c r="E9" s="14" t="str">
        <f>Start.listina!L12</f>
        <v>SK Sahara Vědomice</v>
      </c>
      <c r="F9" s="14"/>
      <c r="G9" s="123">
        <f ca="1">IF(N(A9)&gt;0,VLOOKUP(A9,Body!$A$4:$F$259,5,0),"")</f>
        <v>83.754125000000002</v>
      </c>
      <c r="H9" s="7">
        <f ca="1">IF(N(A9)&gt;0,VLOOKUP(A9,Body!$A$4:$F$259,6,0),"")</f>
        <v>0</v>
      </c>
      <c r="I9" s="7">
        <f ca="1">IF(N(A9)&gt;0,VLOOKUP(A9,Body!$A$4:$F$259,2,0),"")</f>
        <v>2</v>
      </c>
    </row>
    <row r="10" spans="1:9">
      <c r="A10" s="14"/>
      <c r="B10" s="14">
        <f>Start.listina!O12</f>
        <v>99574</v>
      </c>
      <c r="C10" s="14" t="str">
        <f>Start.listina!P12</f>
        <v>Demčíková</v>
      </c>
      <c r="D10" s="14" t="str">
        <f>Start.listina!Q12</f>
        <v>Jiřina</v>
      </c>
      <c r="E10" s="14" t="str">
        <f>Start.listina!R12</f>
        <v>SK Sahara Vědomice</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2</v>
      </c>
      <c r="B13" s="14">
        <f>Start.listina!I13</f>
        <v>12020</v>
      </c>
      <c r="C13" s="14" t="str">
        <f>Start.listina!J13</f>
        <v>Fafek</v>
      </c>
      <c r="D13" s="14" t="str">
        <f>Start.listina!K13</f>
        <v>Petr</v>
      </c>
      <c r="E13" s="14" t="str">
        <f>Start.listina!L13</f>
        <v>PC Sokol Lipník</v>
      </c>
      <c r="F13" s="14"/>
      <c r="G13" s="123">
        <f ca="1">IF(N(A13)&gt;0,VLOOKUP(A13,Body!$A$4:$F$259,5,0),"")</f>
        <v>209.3853125</v>
      </c>
      <c r="H13" s="7">
        <f ca="1">IF(N(A13)&gt;0,VLOOKUP(A13,Body!$A$4:$F$259,6,0),"")</f>
        <v>0</v>
      </c>
      <c r="I13" s="7">
        <f ca="1">IF(N(A13)&gt;0,VLOOKUP(A13,Body!$A$4:$F$259,2,0),"")</f>
        <v>5</v>
      </c>
    </row>
    <row r="14" spans="1:9">
      <c r="A14" s="14"/>
      <c r="B14" s="14">
        <f>Start.listina!O13</f>
        <v>13044</v>
      </c>
      <c r="C14" s="14" t="str">
        <f>Start.listina!P13</f>
        <v>Fafková</v>
      </c>
      <c r="D14" s="14" t="str">
        <f>Start.listina!Q13</f>
        <v>Jana</v>
      </c>
      <c r="E14" s="14" t="str">
        <f>Start.listina!R13</f>
        <v>PC Sokol Lipník</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15</v>
      </c>
      <c r="B17" s="14">
        <f>Start.listina!I14</f>
        <v>27039</v>
      </c>
      <c r="C17" s="14" t="str">
        <f>Start.listina!J14</f>
        <v>Kauca</v>
      </c>
      <c r="D17" s="14" t="str">
        <f>Start.listina!K14</f>
        <v>Jindřich</v>
      </c>
      <c r="E17" s="14" t="str">
        <f>Start.listina!L14</f>
        <v>PC Kolová</v>
      </c>
      <c r="F17" s="14"/>
      <c r="G17" s="123">
        <f ca="1">IF(N(A17)&gt;0,VLOOKUP(A17,Body!$A$4:$F$259,5,0),"")</f>
        <v>88.988757812499998</v>
      </c>
      <c r="H17" s="7">
        <f ca="1">IF(N(A17)&gt;0,VLOOKUP(A17,Body!$A$4:$F$259,6,0),"")</f>
        <v>0</v>
      </c>
      <c r="I17" s="7">
        <f ca="1">IF(N(A17)&gt;0,VLOOKUP(A17,Body!$A$4:$F$259,2,0),"")</f>
        <v>2.125</v>
      </c>
    </row>
    <row r="18" spans="1:9">
      <c r="A18" s="14"/>
      <c r="B18" s="14">
        <f>Start.listina!O14</f>
        <v>21754</v>
      </c>
      <c r="C18" s="14" t="str">
        <f>Start.listina!P14</f>
        <v>Valenz</v>
      </c>
      <c r="D18" s="14" t="str">
        <f>Start.listina!Q14</f>
        <v>Jan</v>
      </c>
      <c r="E18" s="14" t="str">
        <f>Start.listina!R14</f>
        <v>PK Osika Plzeň</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32</v>
      </c>
      <c r="B21" s="14">
        <f>Start.listina!I15</f>
        <v>29049</v>
      </c>
      <c r="C21" s="14" t="str">
        <f>Start.listina!J15</f>
        <v>Marhoul</v>
      </c>
      <c r="D21" s="14" t="str">
        <f>Start.listina!K15</f>
        <v>Jan</v>
      </c>
      <c r="E21" s="14" t="str">
        <f>Start.listina!L15</f>
        <v>CdP Loděnice</v>
      </c>
      <c r="F21" s="14"/>
      <c r="G21" s="123">
        <f ca="1">IF(N(A21)&gt;0,VLOOKUP(A21,Body!$A$4:$F$259,5,0),"")</f>
        <v>41.877062500000001</v>
      </c>
      <c r="H21" s="7">
        <f ca="1">IF(N(A21)&gt;0,VLOOKUP(A21,Body!$A$4:$F$259,6,0),"")</f>
        <v>0</v>
      </c>
      <c r="I21" s="7">
        <f ca="1">IF(N(A21)&gt;0,VLOOKUP(A21,Body!$A$4:$F$259,2,0),"")</f>
        <v>1</v>
      </c>
    </row>
    <row r="22" spans="1:9">
      <c r="A22" s="14"/>
      <c r="B22" s="14">
        <f>Start.listina!O15</f>
        <v>14075</v>
      </c>
      <c r="C22" s="14" t="str">
        <f>Start.listina!P15</f>
        <v>Froňková</v>
      </c>
      <c r="D22" s="14" t="str">
        <f>Start.listina!Q15</f>
        <v>Kateřina</v>
      </c>
      <c r="E22" s="14" t="str">
        <f>Start.listina!R15</f>
        <v>PC Sokol Lipník</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4</v>
      </c>
      <c r="B25" s="14">
        <f>Start.listina!I16</f>
        <v>14074</v>
      </c>
      <c r="C25" s="14" t="str">
        <f>Start.listina!J16</f>
        <v>Froňková</v>
      </c>
      <c r="D25" s="14" t="str">
        <f>Start.listina!K16</f>
        <v>Blanka</v>
      </c>
      <c r="E25" s="14" t="str">
        <f>Start.listina!L16</f>
        <v>PC Sokol Lipník</v>
      </c>
      <c r="F25" s="14"/>
      <c r="G25" s="123">
        <f ca="1">IF(N(A25)&gt;0,VLOOKUP(A25,Body!$A$4:$F$259,5,0),"")</f>
        <v>167.50825</v>
      </c>
      <c r="H25" s="7">
        <f ca="1">IF(N(A25)&gt;0,VLOOKUP(A25,Body!$A$4:$F$259,6,0),"")</f>
        <v>0</v>
      </c>
      <c r="I25" s="7">
        <f ca="1">IF(N(A25)&gt;0,VLOOKUP(A25,Body!$A$4:$F$259,2,0),"")</f>
        <v>4</v>
      </c>
    </row>
    <row r="26" spans="1:9">
      <c r="A26" s="14"/>
      <c r="B26" s="14">
        <f>Start.listina!O16</f>
        <v>98446</v>
      </c>
      <c r="C26" s="14" t="str">
        <f>Start.listina!P16</f>
        <v>Morávek</v>
      </c>
      <c r="D26" s="14" t="str">
        <f>Start.listina!Q16</f>
        <v>Petr</v>
      </c>
      <c r="E26" s="14" t="str">
        <f>Start.listina!R16</f>
        <v>PC Sokol Lipník</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12</v>
      </c>
      <c r="B29" s="14">
        <f>Start.listina!I17</f>
        <v>12070</v>
      </c>
      <c r="C29" s="14" t="str">
        <f>Start.listina!J17</f>
        <v>Mrázek</v>
      </c>
      <c r="D29" s="14" t="str">
        <f>Start.listina!K17</f>
        <v>Petr</v>
      </c>
      <c r="E29" s="14" t="str">
        <f>Start.listina!L17</f>
        <v>CdP Loděnice</v>
      </c>
      <c r="F29" s="14"/>
      <c r="G29" s="123">
        <f ca="1">IF(N(A29)&gt;0,VLOOKUP(A29,Body!$A$4:$F$259,5,0),"")</f>
        <v>104.69265625</v>
      </c>
      <c r="H29" s="7">
        <f ca="1">IF(N(A29)&gt;0,VLOOKUP(A29,Body!$A$4:$F$259,6,0),"")</f>
        <v>0</v>
      </c>
      <c r="I29" s="7">
        <f ca="1">IF(N(A29)&gt;0,VLOOKUP(A29,Body!$A$4:$F$259,2,0),"")</f>
        <v>2.5</v>
      </c>
    </row>
    <row r="30" spans="1:9">
      <c r="A30" s="14"/>
      <c r="B30" s="14">
        <f>Start.listina!O17</f>
        <v>28050</v>
      </c>
      <c r="C30" s="14" t="str">
        <f>Start.listina!P17</f>
        <v>Beránek</v>
      </c>
      <c r="D30" s="14" t="str">
        <f>Start.listina!Q17</f>
        <v>Miroslav</v>
      </c>
      <c r="E30" s="14" t="str">
        <f>Start.listina!R17</f>
        <v>PC Kolová</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32</v>
      </c>
      <c r="B33" s="14">
        <f>Start.listina!I18</f>
        <v>11039</v>
      </c>
      <c r="C33" s="14" t="str">
        <f>Start.listina!J18</f>
        <v>Lukáš</v>
      </c>
      <c r="D33" s="14" t="str">
        <f>Start.listina!K18</f>
        <v>Vojtěch</v>
      </c>
      <c r="E33" s="14" t="str">
        <f>Start.listina!L18</f>
        <v>PLUK Jablonec</v>
      </c>
      <c r="F33" s="14"/>
      <c r="G33" s="123">
        <f ca="1">IF(N(A33)&gt;0,VLOOKUP(A33,Body!$A$4:$F$259,5,0),"")</f>
        <v>41.877062500000001</v>
      </c>
      <c r="H33" s="7">
        <f ca="1">IF(N(A33)&gt;0,VLOOKUP(A33,Body!$A$4:$F$259,6,0),"")</f>
        <v>0</v>
      </c>
      <c r="I33" s="7">
        <f ca="1">IF(N(A33)&gt;0,VLOOKUP(A33,Body!$A$4:$F$259,2,0),"")</f>
        <v>1</v>
      </c>
    </row>
    <row r="34" spans="1:9">
      <c r="A34" s="14"/>
      <c r="B34" s="14">
        <f>Start.listina!O18</f>
        <v>14024</v>
      </c>
      <c r="C34" s="14" t="str">
        <f>Start.listina!P18</f>
        <v>Palicová</v>
      </c>
      <c r="D34" s="14" t="str">
        <f>Start.listina!Q18</f>
        <v>Markéta</v>
      </c>
      <c r="E34" s="14" t="str">
        <f>Start.listina!R18</f>
        <v>PLUK Jablonec</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63</v>
      </c>
      <c r="B37" s="14">
        <f>Start.listina!I19</f>
        <v>15047</v>
      </c>
      <c r="C37" s="14" t="str">
        <f>Start.listina!J19</f>
        <v>Mikyška</v>
      </c>
      <c r="D37" s="14" t="str">
        <f>Start.listina!K19</f>
        <v>Milan</v>
      </c>
      <c r="E37" s="14" t="str">
        <f>Start.listina!L19</f>
        <v>SK Sahara Vědomice</v>
      </c>
      <c r="F37" s="14"/>
      <c r="G37" s="123">
        <f ca="1">IF(N(A37)&gt;0,VLOOKUP(A37,Body!$A$4:$F$259,5,0),"")</f>
        <v>1</v>
      </c>
      <c r="H37" s="7">
        <f ca="1">IF(N(A37)&gt;0,VLOOKUP(A37,Body!$A$4:$F$259,6,0),"")</f>
        <v>0</v>
      </c>
      <c r="I37" s="7">
        <f ca="1">IF(N(A37)&gt;0,VLOOKUP(A37,Body!$A$4:$F$259,2,0),"")</f>
        <v>0</v>
      </c>
    </row>
    <row r="38" spans="1:9">
      <c r="A38" s="14"/>
      <c r="B38" s="14">
        <f>Start.listina!O19</f>
        <v>15023</v>
      </c>
      <c r="C38" s="14" t="str">
        <f>Start.listina!P19</f>
        <v>Přibyl</v>
      </c>
      <c r="D38" s="14" t="str">
        <f>Start.listina!Q19</f>
        <v>Miloš</v>
      </c>
      <c r="E38" s="14" t="str">
        <f>Start.listina!R19</f>
        <v>SK Sahara Vědomice</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32</v>
      </c>
      <c r="B41" s="14">
        <f>Start.listina!I20</f>
        <v>12038</v>
      </c>
      <c r="C41" s="14" t="str">
        <f>Start.listina!J20</f>
        <v>Krejčín</v>
      </c>
      <c r="D41" s="14" t="str">
        <f>Start.listina!K20</f>
        <v>Leoš</v>
      </c>
      <c r="E41" s="14" t="str">
        <f>Start.listina!L20</f>
        <v>SKP Kulová osma</v>
      </c>
      <c r="F41" s="14"/>
      <c r="G41" s="123">
        <f ca="1">IF(N(A41)&gt;0,VLOOKUP(A41,Body!$A$4:$F$259,5,0),"")</f>
        <v>41.877062500000001</v>
      </c>
      <c r="H41" s="7">
        <f ca="1">IF(N(A41)&gt;0,VLOOKUP(A41,Body!$A$4:$F$259,6,0),"")</f>
        <v>0</v>
      </c>
      <c r="I41" s="7">
        <f ca="1">IF(N(A41)&gt;0,VLOOKUP(A41,Body!$A$4:$F$259,2,0),"")</f>
        <v>1</v>
      </c>
    </row>
    <row r="42" spans="1:9">
      <c r="A42" s="14"/>
      <c r="B42" s="14">
        <f>Start.listina!O20</f>
        <v>12037</v>
      </c>
      <c r="C42" s="14" t="str">
        <f>Start.listina!P20</f>
        <v>Krejčínová</v>
      </c>
      <c r="D42" s="14" t="str">
        <f>Start.listina!Q20</f>
        <v>Lenka</v>
      </c>
      <c r="E42" s="14" t="str">
        <f>Start.listina!R20</f>
        <v>SKP Kulová osma</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63</v>
      </c>
      <c r="B45" s="14">
        <f>Start.listina!I21</f>
        <v>14052</v>
      </c>
      <c r="C45" s="14" t="str">
        <f>Start.listina!J21</f>
        <v>Škorničková</v>
      </c>
      <c r="D45" s="14" t="str">
        <f>Start.listina!K21</f>
        <v>Jaroslava</v>
      </c>
      <c r="E45" s="14" t="str">
        <f>Start.listina!L21</f>
        <v>Sokol Kostomlaty</v>
      </c>
      <c r="F45" s="14"/>
      <c r="G45" s="123">
        <f ca="1">IF(N(A45)&gt;0,VLOOKUP(A45,Body!$A$4:$F$259,5,0),"")</f>
        <v>1</v>
      </c>
      <c r="H45" s="7">
        <f ca="1">IF(N(A45)&gt;0,VLOOKUP(A45,Body!$A$4:$F$259,6,0),"")</f>
        <v>0</v>
      </c>
      <c r="I45" s="7">
        <f ca="1">IF(N(A45)&gt;0,VLOOKUP(A45,Body!$A$4:$F$259,2,0),"")</f>
        <v>0</v>
      </c>
    </row>
    <row r="46" spans="1:9">
      <c r="A46" s="14"/>
      <c r="B46" s="14">
        <f>Start.listina!O21</f>
        <v>27080</v>
      </c>
      <c r="C46" s="14" t="str">
        <f>Start.listina!P21</f>
        <v>Čihák</v>
      </c>
      <c r="D46" s="14" t="str">
        <f>Start.listina!Q21</f>
        <v>Josef</v>
      </c>
      <c r="E46" s="14" t="str">
        <f>Start.listina!R21</f>
        <v>PCP Lipník</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32</v>
      </c>
      <c r="B49" s="14">
        <f>Start.listina!I22</f>
        <v>15011</v>
      </c>
      <c r="C49" s="14" t="str">
        <f>Start.listina!J22</f>
        <v>Chmelař</v>
      </c>
      <c r="D49" s="14" t="str">
        <f>Start.listina!K22</f>
        <v>Ivo</v>
      </c>
      <c r="E49" s="14" t="str">
        <f>Start.listina!L22</f>
        <v>SKP Kulová osma</v>
      </c>
      <c r="F49" s="14"/>
      <c r="G49" s="123">
        <f ca="1">IF(N(A49)&gt;0,VLOOKUP(A49,Body!$A$4:$F$259,5,0),"")</f>
        <v>41.877062500000001</v>
      </c>
      <c r="H49" s="7">
        <f ca="1">IF(N(A49)&gt;0,VLOOKUP(A49,Body!$A$4:$F$259,6,0),"")</f>
        <v>0</v>
      </c>
      <c r="I49" s="7">
        <f ca="1">IF(N(A49)&gt;0,VLOOKUP(A49,Body!$A$4:$F$259,2,0),"")</f>
        <v>1</v>
      </c>
    </row>
    <row r="50" spans="1:9">
      <c r="A50" s="14"/>
      <c r="B50" s="14">
        <f>Start.listina!O22</f>
        <v>15010</v>
      </c>
      <c r="C50" s="14" t="str">
        <f>Start.listina!P22</f>
        <v>Chmelařová</v>
      </c>
      <c r="D50" s="14" t="str">
        <f>Start.listina!Q22</f>
        <v>Yvetta</v>
      </c>
      <c r="E50" s="14" t="str">
        <f>Start.listina!R22</f>
        <v>SKP Kulová osma</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3</v>
      </c>
      <c r="B53" s="14">
        <f>Start.listina!I23</f>
        <v>21768</v>
      </c>
      <c r="C53" s="14" t="str">
        <f>Start.listina!J23</f>
        <v>Plucar</v>
      </c>
      <c r="D53" s="14" t="str">
        <f>Start.listina!K23</f>
        <v>Petr</v>
      </c>
      <c r="E53" s="14" t="str">
        <f>Start.listina!L23</f>
        <v>PC Kolová</v>
      </c>
      <c r="F53" s="14"/>
      <c r="G53" s="123">
        <f ca="1">IF(N(A53)&gt;0,VLOOKUP(A53,Body!$A$4:$F$259,5,0),"")</f>
        <v>188.44678125000002</v>
      </c>
      <c r="H53" s="7">
        <f ca="1">IF(N(A53)&gt;0,VLOOKUP(A53,Body!$A$4:$F$259,6,0),"")</f>
        <v>0</v>
      </c>
      <c r="I53" s="7">
        <f ca="1">IF(N(A53)&gt;0,VLOOKUP(A53,Body!$A$4:$F$259,2,0),"")</f>
        <v>4.5</v>
      </c>
    </row>
    <row r="54" spans="1:9">
      <c r="A54" s="14"/>
      <c r="B54" s="14">
        <f>Start.listina!O23</f>
        <v>99590</v>
      </c>
      <c r="C54" s="14" t="str">
        <f>Start.listina!P23</f>
        <v>Kacerovský</v>
      </c>
      <c r="D54" s="14" t="str">
        <f>Start.listina!Q23</f>
        <v>Ivo</v>
      </c>
      <c r="E54" s="14" t="str">
        <f>Start.listina!R23</f>
        <v>PC Kolová</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6</v>
      </c>
      <c r="B57" s="14">
        <f>Start.listina!I24</f>
        <v>14079</v>
      </c>
      <c r="C57" s="14" t="str">
        <f>Start.listina!J24</f>
        <v>Vorel</v>
      </c>
      <c r="D57" s="14" t="str">
        <f>Start.listina!K24</f>
        <v>Jan</v>
      </c>
      <c r="E57" s="14" t="str">
        <f>Start.listina!L24</f>
        <v>Petank Club Praha</v>
      </c>
      <c r="F57" s="14"/>
      <c r="G57" s="123">
        <f ca="1">IF(N(A57)&gt;0,VLOOKUP(A57,Body!$A$4:$F$259,5,0),"")</f>
        <v>146.56971874999999</v>
      </c>
      <c r="H57" s="7">
        <f ca="1">IF(N(A57)&gt;0,VLOOKUP(A57,Body!$A$4:$F$259,6,0),"")</f>
        <v>0</v>
      </c>
      <c r="I57" s="7">
        <f ca="1">IF(N(A57)&gt;0,VLOOKUP(A57,Body!$A$4:$F$259,2,0),"")</f>
        <v>3.5</v>
      </c>
    </row>
    <row r="58" spans="1:9">
      <c r="A58" s="14"/>
      <c r="B58" s="14">
        <f>Start.listina!O24</f>
        <v>14081</v>
      </c>
      <c r="C58" s="14" t="str">
        <f>Start.listina!P24</f>
        <v>Boubínová</v>
      </c>
      <c r="D58" s="14" t="str">
        <f>Start.listina!Q24</f>
        <v>Vendula</v>
      </c>
      <c r="E58" s="14" t="str">
        <f>Start.listina!R24</f>
        <v>Petank Club Praha</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1</v>
      </c>
      <c r="B61" s="14">
        <f>Start.listina!I25</f>
        <v>15067</v>
      </c>
      <c r="C61" s="14" t="str">
        <f>Start.listina!J25</f>
        <v>Vyoral</v>
      </c>
      <c r="D61" s="14" t="str">
        <f>Start.listina!K25</f>
        <v>Hynek</v>
      </c>
      <c r="E61" s="14" t="str">
        <f>Start.listina!L25</f>
        <v>Sokol Kostomlaty</v>
      </c>
      <c r="F61" s="14"/>
      <c r="G61" s="123">
        <f ca="1">IF(N(A61)&gt;0,VLOOKUP(A61,Body!$A$4:$F$259,5,0),"")</f>
        <v>251.26237500000002</v>
      </c>
      <c r="H61" s="7">
        <f ca="1">IF(N(A61)&gt;0,VLOOKUP(A61,Body!$A$4:$F$259,6,0),"")</f>
        <v>0</v>
      </c>
      <c r="I61" s="7">
        <f ca="1">IF(N(A61)&gt;0,VLOOKUP(A61,Body!$A$4:$F$259,2,0),"")</f>
        <v>6</v>
      </c>
    </row>
    <row r="62" spans="1:9">
      <c r="A62" s="14"/>
      <c r="B62" s="14">
        <f>Start.listina!O25</f>
        <v>16010</v>
      </c>
      <c r="C62" s="14" t="str">
        <f>Start.listina!P25</f>
        <v>Šplechtová</v>
      </c>
      <c r="D62" s="14" t="str">
        <f>Start.listina!Q25</f>
        <v>Dana</v>
      </c>
      <c r="E62" s="14" t="str">
        <f>Start.listina!R25</f>
        <v>Sokol Kostomlaty</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32</v>
      </c>
      <c r="B65" s="14">
        <f>Start.listina!I26</f>
        <v>23054</v>
      </c>
      <c r="C65" s="14" t="str">
        <f>Start.listina!J26</f>
        <v>Mašek</v>
      </c>
      <c r="D65" s="14" t="str">
        <f>Start.listina!K26</f>
        <v>Pavel</v>
      </c>
      <c r="E65" s="14" t="str">
        <f>Start.listina!L26</f>
        <v>1. KPK Vrchlabí</v>
      </c>
      <c r="F65" s="14"/>
      <c r="G65" s="123">
        <f ca="1">IF(N(A65)&gt;0,VLOOKUP(A65,Body!$A$4:$F$259,5,0),"")</f>
        <v>41.877062500000001</v>
      </c>
      <c r="H65" s="7">
        <f ca="1">IF(N(A65)&gt;0,VLOOKUP(A65,Body!$A$4:$F$259,6,0),"")</f>
        <v>0</v>
      </c>
      <c r="I65" s="7">
        <f ca="1">IF(N(A65)&gt;0,VLOOKUP(A65,Body!$A$4:$F$259,2,0),"")</f>
        <v>1</v>
      </c>
    </row>
    <row r="66" spans="1:9">
      <c r="A66" s="14"/>
      <c r="B66" s="14">
        <f>Start.listina!O26</f>
        <v>26010</v>
      </c>
      <c r="C66" s="14" t="str">
        <f>Start.listina!P26</f>
        <v>Řezníček</v>
      </c>
      <c r="D66" s="14" t="str">
        <f>Start.listina!Q26</f>
        <v>Jiří</v>
      </c>
      <c r="E66" s="14" t="str">
        <f>Start.listina!R26</f>
        <v>1. KPK Vrchlabí</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63</v>
      </c>
      <c r="B69" s="14">
        <f>Start.listina!I27</f>
        <v>11050</v>
      </c>
      <c r="C69" s="14" t="str">
        <f>Start.listina!J27</f>
        <v>Gorroňo López</v>
      </c>
      <c r="D69" s="14" t="str">
        <f>Start.listina!K27</f>
        <v>Blanka</v>
      </c>
      <c r="E69" s="14" t="str">
        <f>Start.listina!L27</f>
        <v>PC Sokol Lipník</v>
      </c>
      <c r="F69" s="14"/>
      <c r="G69" s="123">
        <f ca="1">IF(N(A69)&gt;0,VLOOKUP(A69,Body!$A$4:$F$259,5,0),"")</f>
        <v>1</v>
      </c>
      <c r="H69" s="7">
        <f ca="1">IF(N(A69)&gt;0,VLOOKUP(A69,Body!$A$4:$F$259,6,0),"")</f>
        <v>0</v>
      </c>
      <c r="I69" s="7">
        <f ca="1">IF(N(A69)&gt;0,VLOOKUP(A69,Body!$A$4:$F$259,2,0),"")</f>
        <v>0</v>
      </c>
    </row>
    <row r="70" spans="1:9">
      <c r="A70" s="14"/>
      <c r="B70" s="14">
        <f>Start.listina!O27</f>
        <v>96217</v>
      </c>
      <c r="C70" s="14" t="str">
        <f>Start.listina!P27</f>
        <v>Gorroňo López</v>
      </c>
      <c r="D70" s="14" t="str">
        <f>Start.listina!Q27</f>
        <v>Rubi</v>
      </c>
      <c r="E70" s="14" t="str">
        <f>Start.listina!R27</f>
        <v>PC Sokol Lipník</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63</v>
      </c>
      <c r="B73" s="14">
        <f>Start.listina!I28</f>
        <v>29009</v>
      </c>
      <c r="C73" s="14" t="str">
        <f>Start.listina!J28</f>
        <v>Proroková</v>
      </c>
      <c r="D73" s="14" t="str">
        <f>Start.listina!K28</f>
        <v>Dana</v>
      </c>
      <c r="E73" s="14" t="str">
        <f>Start.listina!L28</f>
        <v>PCP Lipník</v>
      </c>
      <c r="F73" s="14"/>
      <c r="G73" s="123">
        <f ca="1">IF(N(A73)&gt;0,VLOOKUP(A73,Body!$A$4:$F$259,5,0),"")</f>
        <v>1</v>
      </c>
      <c r="H73" s="7">
        <f ca="1">IF(N(A73)&gt;0,VLOOKUP(A73,Body!$A$4:$F$259,6,0),"")</f>
        <v>0</v>
      </c>
      <c r="I73" s="7">
        <f ca="1">IF(N(A73)&gt;0,VLOOKUP(A73,Body!$A$4:$F$259,2,0),"")</f>
        <v>0</v>
      </c>
    </row>
    <row r="74" spans="1:9">
      <c r="A74" s="14"/>
      <c r="B74" s="14">
        <f>Start.listina!O28</f>
        <v>15093</v>
      </c>
      <c r="C74" s="14" t="str">
        <f>Start.listina!P28</f>
        <v>Novotný</v>
      </c>
      <c r="D74" s="14" t="str">
        <f>Start.listina!Q28</f>
        <v>Vladimír</v>
      </c>
      <c r="E74" s="14" t="str">
        <f>Start.listina!R28</f>
        <v>PCP Lipník</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63</v>
      </c>
      <c r="B77" s="14">
        <f>Start.listina!I29</f>
        <v>99505</v>
      </c>
      <c r="C77" s="14" t="str">
        <f>Start.listina!J29</f>
        <v>Chalupa</v>
      </c>
      <c r="D77" s="14" t="str">
        <f>Start.listina!K29</f>
        <v>Jiří</v>
      </c>
      <c r="E77" s="14" t="str">
        <f>Start.listina!L29</f>
        <v>PC Sokol Lipník</v>
      </c>
      <c r="F77" s="14"/>
      <c r="G77" s="123">
        <f ca="1">IF(N(A77)&gt;0,VLOOKUP(A77,Body!$A$4:$F$259,5,0),"")</f>
        <v>1</v>
      </c>
      <c r="H77" s="7">
        <f ca="1">IF(N(A77)&gt;0,VLOOKUP(A77,Body!$A$4:$F$259,6,0),"")</f>
        <v>0</v>
      </c>
      <c r="I77" s="7">
        <f ca="1">IF(N(A77)&gt;0,VLOOKUP(A77,Body!$A$4:$F$259,2,0),"")</f>
        <v>0</v>
      </c>
    </row>
    <row r="78" spans="1:9">
      <c r="A78" s="14"/>
      <c r="B78" s="14">
        <f>Start.listina!O29</f>
        <v>27088</v>
      </c>
      <c r="C78" s="14" t="str">
        <f>Start.listina!P29</f>
        <v>Mandíková</v>
      </c>
      <c r="D78" s="14" t="str">
        <f>Start.listina!Q29</f>
        <v>Sylva</v>
      </c>
      <c r="E78" s="14" t="str">
        <f>Start.listina!R29</f>
        <v>PCP Lipník</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10</v>
      </c>
      <c r="B81" s="14">
        <f>Start.listina!I30</f>
        <v>13027</v>
      </c>
      <c r="C81" s="14" t="str">
        <f>Start.listina!J30</f>
        <v>Dlouhá</v>
      </c>
      <c r="D81" s="14" t="str">
        <f>Start.listina!K30</f>
        <v>Ivana</v>
      </c>
      <c r="E81" s="14" t="str">
        <f>Start.listina!L30</f>
        <v>Club Rodamiento</v>
      </c>
      <c r="F81" s="14"/>
      <c r="G81" s="123">
        <f ca="1">IF(N(A81)&gt;0,VLOOKUP(A81,Body!$A$4:$F$259,5,0),"")</f>
        <v>115.161921875</v>
      </c>
      <c r="H81" s="7">
        <f ca="1">IF(N(A81)&gt;0,VLOOKUP(A81,Body!$A$4:$F$259,6,0),"")</f>
        <v>0</v>
      </c>
      <c r="I81" s="7">
        <f ca="1">IF(N(A81)&gt;0,VLOOKUP(A81,Body!$A$4:$F$259,2,0),"")</f>
        <v>2.75</v>
      </c>
    </row>
    <row r="82" spans="1:9">
      <c r="A82" s="14"/>
      <c r="B82" s="14">
        <f>Start.listina!O30</f>
        <v>13029</v>
      </c>
      <c r="C82" s="14" t="str">
        <f>Start.listina!P30</f>
        <v>Kamaryt</v>
      </c>
      <c r="D82" s="14" t="str">
        <f>Start.listina!Q30</f>
        <v>Josef</v>
      </c>
      <c r="E82" s="14" t="str">
        <f>Start.listina!R30</f>
        <v>Club Rodamiento</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63</v>
      </c>
      <c r="B85" s="14">
        <f>Start.listina!I31</f>
        <v>10159</v>
      </c>
      <c r="C85" s="14" t="str">
        <f>Start.listina!J31</f>
        <v>Vaníček</v>
      </c>
      <c r="D85" s="14" t="str">
        <f>Start.listina!K31</f>
        <v>Rudolf</v>
      </c>
      <c r="E85" s="14" t="str">
        <f>Start.listina!L31</f>
        <v>Sokol Kostomlaty</v>
      </c>
      <c r="F85" s="14"/>
      <c r="G85" s="123">
        <f ca="1">IF(N(A85)&gt;0,VLOOKUP(A85,Body!$A$4:$F$259,5,0),"")</f>
        <v>1</v>
      </c>
      <c r="H85" s="7">
        <f ca="1">IF(N(A85)&gt;0,VLOOKUP(A85,Body!$A$4:$F$259,6,0),"")</f>
        <v>0</v>
      </c>
      <c r="I85" s="7">
        <f ca="1">IF(N(A85)&gt;0,VLOOKUP(A85,Body!$A$4:$F$259,2,0),"")</f>
        <v>0</v>
      </c>
    </row>
    <row r="86" spans="1:9">
      <c r="A86" s="14"/>
      <c r="B86" s="14">
        <f>Start.listina!O31</f>
        <v>10163</v>
      </c>
      <c r="C86" s="14" t="str">
        <f>Start.listina!P31</f>
        <v>Vaníčková</v>
      </c>
      <c r="D86" s="14" t="str">
        <f>Start.listina!Q31</f>
        <v>Alena</v>
      </c>
      <c r="E86" s="14" t="str">
        <f>Start.listina!R31</f>
        <v>Sokol Kostomlaty</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11</v>
      </c>
      <c r="B89" s="14">
        <f>Start.listina!I32</f>
        <v>12083</v>
      </c>
      <c r="C89" s="14" t="str">
        <f>Start.listina!J32</f>
        <v>Zátka</v>
      </c>
      <c r="D89" s="14" t="str">
        <f>Start.listina!K32</f>
        <v>Miloslav</v>
      </c>
      <c r="E89" s="14" t="str">
        <f>Start.listina!L32</f>
        <v>SKP Kulová osma</v>
      </c>
      <c r="F89" s="14"/>
      <c r="G89" s="123">
        <f ca="1">IF(N(A89)&gt;0,VLOOKUP(A89,Body!$A$4:$F$259,5,0),"")</f>
        <v>109.92728906250001</v>
      </c>
      <c r="H89" s="7">
        <f ca="1">IF(N(A89)&gt;0,VLOOKUP(A89,Body!$A$4:$F$259,6,0),"")</f>
        <v>0</v>
      </c>
      <c r="I89" s="7">
        <f ca="1">IF(N(A89)&gt;0,VLOOKUP(A89,Body!$A$4:$F$259,2,0),"")</f>
        <v>2.625</v>
      </c>
    </row>
    <row r="90" spans="1:9">
      <c r="A90" s="14"/>
      <c r="B90" s="14">
        <f>Start.listina!O32</f>
        <v>12085</v>
      </c>
      <c r="C90" s="14" t="str">
        <f>Start.listina!P32</f>
        <v>Mitkovová</v>
      </c>
      <c r="D90" s="14" t="str">
        <f>Start.listina!Q32</f>
        <v>Hana</v>
      </c>
      <c r="E90" s="14" t="str">
        <f>Start.listina!R32</f>
        <v>SKP Kulová osma</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32</v>
      </c>
      <c r="B93" s="14">
        <f>Start.listina!I33</f>
        <v>16109</v>
      </c>
      <c r="C93" s="14" t="str">
        <f>Start.listina!J33</f>
        <v>Sjögren</v>
      </c>
      <c r="D93" s="14" t="str">
        <f>Start.listina!K33</f>
        <v>Magda</v>
      </c>
      <c r="E93" s="14" t="str">
        <f>Start.listina!L33</f>
        <v>Club Rodamiento</v>
      </c>
      <c r="F93" s="14"/>
      <c r="G93" s="123">
        <f ca="1">IF(N(A93)&gt;0,VLOOKUP(A93,Body!$A$4:$F$259,5,0),"")</f>
        <v>41.877062500000001</v>
      </c>
      <c r="H93" s="7">
        <f ca="1">IF(N(A93)&gt;0,VLOOKUP(A93,Body!$A$4:$F$259,6,0),"")</f>
        <v>0</v>
      </c>
      <c r="I93" s="7">
        <f ca="1">IF(N(A93)&gt;0,VLOOKUP(A93,Body!$A$4:$F$259,2,0),"")</f>
        <v>1</v>
      </c>
    </row>
    <row r="94" spans="1:9">
      <c r="A94" s="14"/>
      <c r="B94" s="14">
        <f>Start.listina!O33</f>
        <v>12042</v>
      </c>
      <c r="C94" s="14" t="str">
        <f>Start.listina!P33</f>
        <v>Pilát</v>
      </c>
      <c r="D94" s="14" t="str">
        <f>Start.listina!Q33</f>
        <v>Petr</v>
      </c>
      <c r="E94" s="14" t="str">
        <f>Start.listina!R33</f>
        <v>SKP Kulová osma</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7</v>
      </c>
      <c r="B97" s="14">
        <f>Start.listina!I34</f>
        <v>25011</v>
      </c>
      <c r="C97" s="14" t="str">
        <f>Start.listina!J34</f>
        <v>Jirkovský</v>
      </c>
      <c r="D97" s="14" t="str">
        <f>Start.listina!K34</f>
        <v>Tomáš</v>
      </c>
      <c r="E97" s="14" t="str">
        <f>Start.listina!L34</f>
        <v>PK Osika Plzeň</v>
      </c>
      <c r="F97" s="14"/>
      <c r="G97" s="123">
        <f ca="1">IF(N(A97)&gt;0,VLOOKUP(A97,Body!$A$4:$F$259,5,0),"")</f>
        <v>136.100453125</v>
      </c>
      <c r="H97" s="7">
        <f ca="1">IF(N(A97)&gt;0,VLOOKUP(A97,Body!$A$4:$F$259,6,0),"")</f>
        <v>0</v>
      </c>
      <c r="I97" s="7">
        <f ca="1">IF(N(A97)&gt;0,VLOOKUP(A97,Body!$A$4:$F$259,2,0),"")</f>
        <v>3.25</v>
      </c>
    </row>
    <row r="98" spans="1:9">
      <c r="A98" s="14"/>
      <c r="B98" s="14">
        <f>Start.listina!O34</f>
        <v>23131</v>
      </c>
      <c r="C98" s="14" t="str">
        <f>Start.listina!P34</f>
        <v>Felčárek</v>
      </c>
      <c r="D98" s="14" t="str">
        <f>Start.listina!Q34</f>
        <v>Jaroslav</v>
      </c>
      <c r="E98" s="14" t="str">
        <f>Start.listina!R34</f>
        <v>FRAPECO</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32</v>
      </c>
      <c r="B101" s="14">
        <f>Start.listina!I35</f>
        <v>13004</v>
      </c>
      <c r="C101" s="14" t="str">
        <f>Start.listina!J35</f>
        <v>Mazúr</v>
      </c>
      <c r="D101" s="14" t="str">
        <f>Start.listina!K35</f>
        <v>Pavel</v>
      </c>
      <c r="E101" s="14" t="str">
        <f>Start.listina!L35</f>
        <v>PC Sokol Lipník</v>
      </c>
      <c r="F101" s="14"/>
      <c r="G101" s="123">
        <f ca="1">IF(N(A101)&gt;0,VLOOKUP(A101,Body!$A$4:$F$259,5,0),"")</f>
        <v>41.877062500000001</v>
      </c>
      <c r="H101" s="7">
        <f ca="1">IF(N(A101)&gt;0,VLOOKUP(A101,Body!$A$4:$F$259,6,0),"")</f>
        <v>0</v>
      </c>
      <c r="I101" s="7">
        <f ca="1">IF(N(A101)&gt;0,VLOOKUP(A101,Body!$A$4:$F$259,2,0),"")</f>
        <v>1</v>
      </c>
    </row>
    <row r="102" spans="1:9">
      <c r="A102" s="14"/>
      <c r="B102" s="14">
        <f>Start.listina!O35</f>
        <v>13001</v>
      </c>
      <c r="C102" s="14" t="str">
        <f>Start.listina!P35</f>
        <v>Beranová</v>
      </c>
      <c r="D102" s="14" t="str">
        <f>Start.listina!Q35</f>
        <v>Pavla</v>
      </c>
      <c r="E102" s="14" t="str">
        <f>Start.listina!R35</f>
        <v>PC Sokol Lipník</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63</v>
      </c>
      <c r="B105" s="14">
        <f>Start.listina!I36</f>
        <v>11048</v>
      </c>
      <c r="C105" s="14" t="str">
        <f>Start.listina!J36</f>
        <v>Nagy</v>
      </c>
      <c r="D105" s="14" t="str">
        <f>Start.listina!K36</f>
        <v>Radim</v>
      </c>
      <c r="E105" s="14" t="str">
        <f>Start.listina!L36</f>
        <v>CdP Loděnice</v>
      </c>
      <c r="F105" s="14"/>
      <c r="G105" s="123">
        <f ca="1">IF(N(A105)&gt;0,VLOOKUP(A105,Body!$A$4:$F$259,5,0),"")</f>
        <v>1</v>
      </c>
      <c r="H105" s="7">
        <f ca="1">IF(N(A105)&gt;0,VLOOKUP(A105,Body!$A$4:$F$259,6,0),"")</f>
        <v>0</v>
      </c>
      <c r="I105" s="7">
        <f ca="1">IF(N(A105)&gt;0,VLOOKUP(A105,Body!$A$4:$F$259,2,0),"")</f>
        <v>0</v>
      </c>
    </row>
    <row r="106" spans="1:9">
      <c r="A106" s="14"/>
      <c r="B106" s="14">
        <f>Start.listina!O36</f>
        <v>14100</v>
      </c>
      <c r="C106" s="14" t="str">
        <f>Start.listina!P36</f>
        <v>Vedralová</v>
      </c>
      <c r="D106" s="14" t="str">
        <f>Start.listina!Q36</f>
        <v>Kateřina</v>
      </c>
      <c r="E106" s="14" t="str">
        <f>Start.listina!R36</f>
        <v>CdP Loděnice</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32</v>
      </c>
      <c r="B109" s="14">
        <f>Start.listina!I37</f>
        <v>25014</v>
      </c>
      <c r="C109" s="14" t="str">
        <f>Start.listina!J37</f>
        <v>Mráz</v>
      </c>
      <c r="D109" s="14" t="str">
        <f>Start.listina!K37</f>
        <v>Václav</v>
      </c>
      <c r="E109" s="14" t="str">
        <f>Start.listina!L37</f>
        <v>PK Osika Plzeň</v>
      </c>
      <c r="F109" s="14"/>
      <c r="G109" s="123">
        <f ca="1">IF(N(A109)&gt;0,VLOOKUP(A109,Body!$A$4:$F$259,5,0),"")</f>
        <v>41.877062500000001</v>
      </c>
      <c r="H109" s="7">
        <f ca="1">IF(N(A109)&gt;0,VLOOKUP(A109,Body!$A$4:$F$259,6,0),"")</f>
        <v>0</v>
      </c>
      <c r="I109" s="7">
        <f ca="1">IF(N(A109)&gt;0,VLOOKUP(A109,Body!$A$4:$F$259,2,0),"")</f>
        <v>1</v>
      </c>
    </row>
    <row r="110" spans="1:9">
      <c r="A110" s="14"/>
      <c r="B110" s="14">
        <f>Start.listina!O37</f>
        <v>12073</v>
      </c>
      <c r="C110" s="14" t="str">
        <f>Start.listina!P37</f>
        <v>Špiclová</v>
      </c>
      <c r="D110" s="14" t="str">
        <f>Start.listina!Q37</f>
        <v>Adéla</v>
      </c>
      <c r="E110" s="14" t="str">
        <f>Start.listina!R37</f>
        <v>PK Osika Plzeň</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8</v>
      </c>
      <c r="B113" s="14">
        <f>Start.listina!I38</f>
        <v>13077</v>
      </c>
      <c r="C113" s="14" t="str">
        <f>Start.listina!J38</f>
        <v>Kot</v>
      </c>
      <c r="D113" s="14" t="str">
        <f>Start.listina!K38</f>
        <v>Pavel</v>
      </c>
      <c r="E113" s="14" t="str">
        <f>Start.listina!L38</f>
        <v>UBU Únětice</v>
      </c>
      <c r="F113" s="14"/>
      <c r="G113" s="123">
        <f ca="1">IF(N(A113)&gt;0,VLOOKUP(A113,Body!$A$4:$F$259,5,0),"")</f>
        <v>125.63118750000001</v>
      </c>
      <c r="H113" s="7">
        <f ca="1">IF(N(A113)&gt;0,VLOOKUP(A113,Body!$A$4:$F$259,6,0),"")</f>
        <v>0</v>
      </c>
      <c r="I113" s="7">
        <f ca="1">IF(N(A113)&gt;0,VLOOKUP(A113,Body!$A$4:$F$259,2,0),"")</f>
        <v>3</v>
      </c>
    </row>
    <row r="114" spans="1:9">
      <c r="A114" s="14"/>
      <c r="B114" s="14">
        <f>Start.listina!O38</f>
        <v>13078</v>
      </c>
      <c r="C114" s="14" t="str">
        <f>Start.listina!P38</f>
        <v>Kotová</v>
      </c>
      <c r="D114" s="14" t="str">
        <f>Start.listina!Q38</f>
        <v>Jiřina</v>
      </c>
      <c r="E114" s="14" t="str">
        <f>Start.listina!R38</f>
        <v>UBU Únětice</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63</v>
      </c>
      <c r="B117" s="14">
        <f>Start.listina!I39</f>
        <v>15059</v>
      </c>
      <c r="C117" s="231" t="str">
        <f>Start.listina!J39</f>
        <v>Gröschl</v>
      </c>
      <c r="D117" s="14" t="str">
        <f>Start.listina!K39</f>
        <v>Zdeněk</v>
      </c>
      <c r="E117" s="14" t="str">
        <f>Start.listina!L39</f>
        <v>SK Sahara Vědomice</v>
      </c>
      <c r="F117" s="14"/>
      <c r="G117" s="123">
        <f ca="1">IF(N(A117)&gt;0,VLOOKUP(A117,Body!$A$4:$F$259,5,0),"")</f>
        <v>1</v>
      </c>
      <c r="H117" s="7">
        <f ca="1">IF(N(A117)&gt;0,VLOOKUP(A117,Body!$A$4:$F$259,6,0),"")</f>
        <v>0</v>
      </c>
      <c r="I117" s="7">
        <f ca="1">IF(N(A117)&gt;0,VLOOKUP(A117,Body!$A$4:$F$259,2,0),"")</f>
        <v>0</v>
      </c>
    </row>
    <row r="118" spans="1:9">
      <c r="A118" s="14"/>
      <c r="B118" s="14">
        <f>Start.listina!O39</f>
        <v>15020</v>
      </c>
      <c r="C118" s="14" t="str">
        <f>Start.listina!P39</f>
        <v>Pavlasová</v>
      </c>
      <c r="D118" s="14" t="str">
        <f>Start.listina!Q39</f>
        <v>Nikola</v>
      </c>
      <c r="E118" s="14" t="str">
        <f>Start.listina!R39</f>
        <v>PK Sezemice</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63</v>
      </c>
      <c r="B121" s="14">
        <f>Start.listina!I40</f>
        <v>16077</v>
      </c>
      <c r="C121" s="231" t="str">
        <f>Start.listina!J40</f>
        <v>Holoubek</v>
      </c>
      <c r="D121" s="14" t="str">
        <f>Start.listina!K40</f>
        <v>Pavel</v>
      </c>
      <c r="E121" s="14" t="str">
        <f>Start.listina!L40</f>
        <v>SK Španielka Řepy</v>
      </c>
      <c r="F121" s="14"/>
      <c r="G121" s="123">
        <f ca="1">IF(N(A121)&gt;0,VLOOKUP(A121,Body!$A$4:$F$259,5,0),"")</f>
        <v>1</v>
      </c>
      <c r="H121" s="7">
        <f ca="1">IF(N(A121)&gt;0,VLOOKUP(A121,Body!$A$4:$F$259,6,0),"")</f>
        <v>0</v>
      </c>
      <c r="I121" s="7">
        <f ca="1">IF(N(A121)&gt;0,VLOOKUP(A121,Body!$A$4:$F$259,2,0),"")</f>
        <v>0</v>
      </c>
    </row>
    <row r="122" spans="1:9">
      <c r="A122" s="14"/>
      <c r="B122" s="14">
        <f>Start.listina!O40</f>
        <v>16086</v>
      </c>
      <c r="C122" s="14" t="str">
        <f>Start.listina!P40</f>
        <v>Ptáček</v>
      </c>
      <c r="D122" s="14" t="str">
        <f>Start.listina!Q40</f>
        <v>Miroslav</v>
      </c>
      <c r="E122" s="14" t="str">
        <f>Start.listina!R40</f>
        <v>SK Španielka Řepy</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63</v>
      </c>
      <c r="B125" s="14">
        <f>Start.listina!I41</f>
        <v>15033</v>
      </c>
      <c r="C125" s="231" t="str">
        <f>Start.listina!J41</f>
        <v>Lhoták</v>
      </c>
      <c r="D125" s="14" t="str">
        <f>Start.listina!K41</f>
        <v>Jaroslav</v>
      </c>
      <c r="E125" s="14" t="str">
        <f>Start.listina!L41</f>
        <v>SKP Kulová osma</v>
      </c>
      <c r="F125" s="14"/>
      <c r="G125" s="123">
        <f ca="1">IF(N(A125)&gt;0,VLOOKUP(A125,Body!$A$4:$F$259,5,0),"")</f>
        <v>1</v>
      </c>
      <c r="H125" s="7">
        <f ca="1">IF(N(A125)&gt;0,VLOOKUP(A125,Body!$A$4:$F$259,6,0),"")</f>
        <v>0</v>
      </c>
      <c r="I125" s="7">
        <f ca="1">IF(N(A125)&gt;0,VLOOKUP(A125,Body!$A$4:$F$259,2,0),"")</f>
        <v>0</v>
      </c>
    </row>
    <row r="126" spans="1:9">
      <c r="A126" s="14"/>
      <c r="B126" s="14">
        <f>Start.listina!O41</f>
        <v>15034</v>
      </c>
      <c r="C126" s="14" t="str">
        <f>Start.listina!P41</f>
        <v>Dušáková</v>
      </c>
      <c r="D126" s="14" t="str">
        <f>Start.listina!Q41</f>
        <v>Hedvika</v>
      </c>
      <c r="E126" s="14" t="str">
        <f>Start.listina!R41</f>
        <v>SKP Kulová osma</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5</v>
      </c>
      <c r="B129" s="14">
        <f>Start.listina!I42</f>
        <v>25017</v>
      </c>
      <c r="C129" s="231" t="str">
        <f>Start.listina!J42</f>
        <v>Radoušová</v>
      </c>
      <c r="D129" s="14" t="str">
        <f>Start.listina!K42</f>
        <v>Jana</v>
      </c>
      <c r="E129" s="14" t="str">
        <f>Start.listina!L42</f>
        <v>PK Osika Plzeň</v>
      </c>
      <c r="F129" s="14"/>
      <c r="G129" s="123">
        <f ca="1">IF(N(A129)&gt;0,VLOOKUP(A129,Body!$A$4:$F$259,5,0),"")</f>
        <v>157.03898437500001</v>
      </c>
      <c r="H129" s="7">
        <f ca="1">IF(N(A129)&gt;0,VLOOKUP(A129,Body!$A$4:$F$259,6,0),"")</f>
        <v>0</v>
      </c>
      <c r="I129" s="7">
        <f ca="1">IF(N(A129)&gt;0,VLOOKUP(A129,Body!$A$4:$F$259,2,0),"")</f>
        <v>3.75</v>
      </c>
    </row>
    <row r="130" spans="1:9">
      <c r="A130" s="14"/>
      <c r="B130" s="14" t="str">
        <f>Start.listina!O42</f>
        <v/>
      </c>
      <c r="C130" s="14" t="str">
        <f>Start.listina!P42</f>
        <v>Michal Stano</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63</v>
      </c>
      <c r="B133" s="14">
        <f>Start.listina!I43</f>
        <v>20676</v>
      </c>
      <c r="C133" s="231" t="str">
        <f>Start.listina!J43</f>
        <v>Hájková</v>
      </c>
      <c r="D133" s="14" t="str">
        <f>Start.listina!K43</f>
        <v>Iveta</v>
      </c>
      <c r="E133" s="14" t="str">
        <f>Start.listina!L43</f>
        <v>PEK Stolín</v>
      </c>
      <c r="F133" s="14"/>
      <c r="G133" s="123">
        <f ca="1">IF(N(A133)&gt;0,VLOOKUP(A133,Body!$A$4:$F$259,5,0),"")</f>
        <v>1</v>
      </c>
      <c r="H133" s="7">
        <f ca="1">IF(N(A133)&gt;0,VLOOKUP(A133,Body!$A$4:$F$259,6,0),"")</f>
        <v>0</v>
      </c>
      <c r="I133" s="7">
        <f ca="1">IF(N(A133)&gt;0,VLOOKUP(A133,Body!$A$4:$F$259,2,0),"")</f>
        <v>0</v>
      </c>
    </row>
    <row r="134" spans="1:9">
      <c r="A134" s="14"/>
      <c r="B134" s="14">
        <f>Start.listina!O43</f>
        <v>10138</v>
      </c>
      <c r="C134" s="14" t="str">
        <f>Start.listina!P43</f>
        <v>Hájek</v>
      </c>
      <c r="D134" s="14" t="str">
        <f>Start.listina!Q43</f>
        <v>Martin ml.</v>
      </c>
      <c r="E134" s="14" t="str">
        <f>Start.listina!R43</f>
        <v>PEK Stolín</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9</v>
      </c>
      <c r="B137" s="14">
        <f>Start.listina!I44</f>
        <v>25075</v>
      </c>
      <c r="C137" s="231" t="str">
        <f>Start.listina!J44</f>
        <v>Špitálský</v>
      </c>
      <c r="D137" s="14" t="str">
        <f>Start.listina!K44</f>
        <v>Milan</v>
      </c>
      <c r="E137" s="14" t="str">
        <f>Start.listina!L44</f>
        <v>PK Osika Plzeň</v>
      </c>
      <c r="F137" s="14"/>
      <c r="G137" s="123">
        <f ca="1">IF(N(A137)&gt;0,VLOOKUP(A137,Body!$A$4:$F$259,5,0),"")</f>
        <v>120.3965546875</v>
      </c>
      <c r="H137" s="7">
        <f ca="1">IF(N(A137)&gt;0,VLOOKUP(A137,Body!$A$4:$F$259,6,0),"")</f>
        <v>0</v>
      </c>
      <c r="I137" s="7">
        <f ca="1">IF(N(A137)&gt;0,VLOOKUP(A137,Body!$A$4:$F$259,2,0),"")</f>
        <v>2.875</v>
      </c>
    </row>
    <row r="138" spans="1:9">
      <c r="A138" s="14"/>
      <c r="B138" s="14">
        <f>Start.listina!O44</f>
        <v>25015</v>
      </c>
      <c r="C138" s="14" t="str">
        <f>Start.listina!P44</f>
        <v>Mrázová</v>
      </c>
      <c r="D138" s="14" t="str">
        <f>Start.listina!Q44</f>
        <v>Eva</v>
      </c>
      <c r="E138" s="14" t="str">
        <f>Start.listina!R44</f>
        <v>PK Osika Plzeň</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63</v>
      </c>
      <c r="B141" s="14">
        <f>Start.listina!I45</f>
        <v>12079</v>
      </c>
      <c r="C141" s="231" t="str">
        <f>Start.listina!J45</f>
        <v>Slapnička</v>
      </c>
      <c r="D141" s="14" t="str">
        <f>Start.listina!K45</f>
        <v>Václav</v>
      </c>
      <c r="E141" s="14" t="str">
        <f>Start.listina!L45</f>
        <v>SKP Kulová osma</v>
      </c>
      <c r="F141" s="14"/>
      <c r="G141" s="123">
        <f ca="1">IF(N(A141)&gt;0,VLOOKUP(A141,Body!$A$4:$F$259,5,0),"")</f>
        <v>1</v>
      </c>
      <c r="H141" s="7">
        <f ca="1">IF(N(A141)&gt;0,VLOOKUP(A141,Body!$A$4:$F$259,6,0),"")</f>
        <v>0</v>
      </c>
      <c r="I141" s="7">
        <f ca="1">IF(N(A141)&gt;0,VLOOKUP(A141,Body!$A$4:$F$259,2,0),"")</f>
        <v>0</v>
      </c>
    </row>
    <row r="142" spans="1:9">
      <c r="A142" s="14"/>
      <c r="B142" s="14">
        <f>Start.listina!O45</f>
        <v>12080</v>
      </c>
      <c r="C142" s="14" t="str">
        <f>Start.listina!P45</f>
        <v>Lenhartová</v>
      </c>
      <c r="D142" s="14" t="str">
        <f>Start.listina!Q45</f>
        <v>Ivana</v>
      </c>
      <c r="E142" s="14" t="str">
        <f>Start.listina!R45</f>
        <v>SKP Kulová osma</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63</v>
      </c>
      <c r="B145" s="14">
        <f>Start.listina!I46</f>
        <v>14019</v>
      </c>
      <c r="C145" s="231" t="str">
        <f>Start.listina!J46</f>
        <v>Červenková</v>
      </c>
      <c r="D145" s="14" t="str">
        <f>Start.listina!K46</f>
        <v>Andrea</v>
      </c>
      <c r="E145" s="14" t="str">
        <f>Start.listina!L46</f>
        <v>SK Sahara Vědomice</v>
      </c>
      <c r="F145" s="14"/>
      <c r="G145" s="123">
        <f ca="1">IF(N(A145)&gt;0,VLOOKUP(A145,Body!$A$4:$F$259,5,0),"")</f>
        <v>1</v>
      </c>
      <c r="H145" s="7">
        <f ca="1">IF(N(A145)&gt;0,VLOOKUP(A145,Body!$A$4:$F$259,6,0),"")</f>
        <v>0</v>
      </c>
      <c r="I145" s="7">
        <f ca="1">IF(N(A145)&gt;0,VLOOKUP(A145,Body!$A$4:$F$259,2,0),"")</f>
        <v>0</v>
      </c>
    </row>
    <row r="146" spans="1:9">
      <c r="A146" s="14"/>
      <c r="B146" s="14">
        <f>Start.listina!O46</f>
        <v>17001</v>
      </c>
      <c r="C146" s="14" t="str">
        <f>Start.listina!P46</f>
        <v>Přikryl</v>
      </c>
      <c r="D146" s="14" t="str">
        <f>Start.listina!Q46</f>
        <v>Karel</v>
      </c>
      <c r="E146" s="14" t="str">
        <f>Start.listina!R46</f>
        <v>SK Sahara Vědomice</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63</v>
      </c>
      <c r="B149" s="14">
        <f>Start.listina!I47</f>
        <v>10071</v>
      </c>
      <c r="C149" s="231" t="str">
        <f>Start.listina!J47</f>
        <v>Mallat</v>
      </c>
      <c r="D149" s="14" t="str">
        <f>Start.listina!K47</f>
        <v>Oldřich</v>
      </c>
      <c r="E149" s="14" t="str">
        <f>Start.listina!L47</f>
        <v>PEK Stolín</v>
      </c>
      <c r="F149" s="14"/>
      <c r="G149" s="123">
        <f ca="1">IF(N(A149)&gt;0,VLOOKUP(A149,Body!$A$4:$F$259,5,0),"")</f>
        <v>1</v>
      </c>
      <c r="H149" s="7">
        <f ca="1">IF(N(A149)&gt;0,VLOOKUP(A149,Body!$A$4:$F$259,6,0),"")</f>
        <v>0</v>
      </c>
      <c r="I149" s="7">
        <f ca="1">IF(N(A149)&gt;0,VLOOKUP(A149,Body!$A$4:$F$259,2,0),"")</f>
        <v>0</v>
      </c>
    </row>
    <row r="150" spans="1:9">
      <c r="A150" s="14"/>
      <c r="B150" s="14">
        <f>Start.listina!O47</f>
        <v>98465</v>
      </c>
      <c r="C150" s="14" t="str">
        <f>Start.listina!P47</f>
        <v>Hájek</v>
      </c>
      <c r="D150" s="14" t="str">
        <f>Start.listina!Q47</f>
        <v>Martin</v>
      </c>
      <c r="E150" s="14" t="str">
        <f>Start.listina!R47</f>
        <v>PEK Stolín</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63</v>
      </c>
      <c r="B153" s="14">
        <f>Start.listina!I48</f>
        <v>14028</v>
      </c>
      <c r="C153" s="231" t="str">
        <f>Start.listina!J48</f>
        <v>Hercoková</v>
      </c>
      <c r="D153" s="14" t="str">
        <f>Start.listina!K48</f>
        <v>Milena</v>
      </c>
      <c r="E153" s="14" t="str">
        <f>Start.listina!L48</f>
        <v>Sokol Kostomlaty</v>
      </c>
      <c r="F153" s="14"/>
      <c r="G153" s="123">
        <f ca="1">IF(N(A153)&gt;0,VLOOKUP(A153,Body!$A$4:$F$259,5,0),"")</f>
        <v>1</v>
      </c>
      <c r="H153" s="7">
        <f ca="1">IF(N(A153)&gt;0,VLOOKUP(A153,Body!$A$4:$F$259,6,0),"")</f>
        <v>0</v>
      </c>
      <c r="I153" s="7">
        <f ca="1">IF(N(A153)&gt;0,VLOOKUP(A153,Body!$A$4:$F$259,2,0),"")</f>
        <v>0</v>
      </c>
    </row>
    <row r="154" spans="1:9">
      <c r="A154" s="14"/>
      <c r="B154" s="14">
        <f>Start.listina!O48</f>
        <v>14068</v>
      </c>
      <c r="C154" s="14" t="str">
        <f>Start.listina!P48</f>
        <v>Müllerová</v>
      </c>
      <c r="D154" s="14" t="str">
        <f>Start.listina!Q48</f>
        <v>Marie</v>
      </c>
      <c r="E154" s="14" t="str">
        <f>Start.listina!R48</f>
        <v>Sokol Kostomlaty</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63</v>
      </c>
      <c r="B157" s="14">
        <f>Start.listina!I49</f>
        <v>25002</v>
      </c>
      <c r="C157" s="231" t="str">
        <f>Start.listina!J49</f>
        <v>Hocková</v>
      </c>
      <c r="D157" s="14" t="str">
        <f>Start.listina!K49</f>
        <v>Kateřina</v>
      </c>
      <c r="E157" s="14" t="str">
        <f>Start.listina!L49</f>
        <v>SK Sahara Vědomice</v>
      </c>
      <c r="F157" s="14"/>
      <c r="G157" s="123">
        <f ca="1">IF(N(A157)&gt;0,VLOOKUP(A157,Body!$A$4:$F$259,5,0),"")</f>
        <v>1</v>
      </c>
      <c r="H157" s="7">
        <f ca="1">IF(N(A157)&gt;0,VLOOKUP(A157,Body!$A$4:$F$259,6,0),"")</f>
        <v>0</v>
      </c>
      <c r="I157" s="7">
        <f ca="1">IF(N(A157)&gt;0,VLOOKUP(A157,Body!$A$4:$F$259,2,0),"")</f>
        <v>0</v>
      </c>
    </row>
    <row r="158" spans="1:9">
      <c r="A158" s="14"/>
      <c r="B158" s="14">
        <f>Start.listina!O49</f>
        <v>11006</v>
      </c>
      <c r="C158" s="14" t="str">
        <f>Start.listina!P49</f>
        <v>Kulhánek</v>
      </c>
      <c r="D158" s="14" t="str">
        <f>Start.listina!Q49</f>
        <v>Milan</v>
      </c>
      <c r="E158" s="14" t="str">
        <f>Start.listina!R49</f>
        <v>SK Sahara Vědomice</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63</v>
      </c>
      <c r="B161" s="14">
        <f>Start.listina!I50</f>
        <v>12032</v>
      </c>
      <c r="C161" s="231" t="str">
        <f>Start.listina!J50</f>
        <v>Pinkasová</v>
      </c>
      <c r="D161" s="14" t="str">
        <f>Start.listina!K50</f>
        <v>Marie</v>
      </c>
      <c r="E161" s="14" t="str">
        <f>Start.listina!L50</f>
        <v>Club Rodamiento</v>
      </c>
      <c r="F161" s="14"/>
      <c r="G161" s="123">
        <f ca="1">IF(N(A161)&gt;0,VLOOKUP(A161,Body!$A$4:$F$259,5,0),"")</f>
        <v>1</v>
      </c>
      <c r="H161" s="7">
        <f ca="1">IF(N(A161)&gt;0,VLOOKUP(A161,Body!$A$4:$F$259,6,0),"")</f>
        <v>0</v>
      </c>
      <c r="I161" s="7">
        <f ca="1">IF(N(A161)&gt;0,VLOOKUP(A161,Body!$A$4:$F$259,2,0),"")</f>
        <v>0</v>
      </c>
    </row>
    <row r="162" spans="1:9">
      <c r="A162" s="14"/>
      <c r="B162" s="14">
        <f>Start.listina!O50</f>
        <v>15043</v>
      </c>
      <c r="C162" s="14" t="str">
        <f>Start.listina!P50</f>
        <v>Pflimpflová</v>
      </c>
      <c r="D162" s="14" t="str">
        <f>Start.listina!Q50</f>
        <v>Alexandra</v>
      </c>
      <c r="E162" s="14" t="str">
        <f>Start.listina!R50</f>
        <v>UBU Únětice</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63</v>
      </c>
      <c r="B165" s="14">
        <f>Start.listina!I51</f>
        <v>96216</v>
      </c>
      <c r="C165" s="231" t="str">
        <f>Start.listina!J51</f>
        <v>Leiský</v>
      </c>
      <c r="D165" s="14" t="str">
        <f>Start.listina!K51</f>
        <v>Leander</v>
      </c>
      <c r="E165" s="14" t="str">
        <f>Start.listina!L51</f>
        <v>C.T.P. Club Ořech</v>
      </c>
      <c r="F165" s="14"/>
      <c r="G165" s="123">
        <f ca="1">IF(N(A165)&gt;0,VLOOKUP(A165,Body!$A$4:$F$259,5,0),"")</f>
        <v>1</v>
      </c>
      <c r="H165" s="7">
        <f ca="1">IF(N(A165)&gt;0,VLOOKUP(A165,Body!$A$4:$F$259,6,0),"")</f>
        <v>0</v>
      </c>
      <c r="I165" s="7">
        <f ca="1">IF(N(A165)&gt;0,VLOOKUP(A165,Body!$A$4:$F$259,2,0),"")</f>
        <v>0</v>
      </c>
    </row>
    <row r="166" spans="1:9">
      <c r="A166" s="14"/>
      <c r="B166" s="14">
        <f>Start.listina!O51</f>
        <v>16085</v>
      </c>
      <c r="C166" s="14" t="str">
        <f>Start.listina!P51</f>
        <v>Procházka</v>
      </c>
      <c r="D166" s="14" t="str">
        <f>Start.listina!Q51</f>
        <v>Josef</v>
      </c>
      <c r="E166" s="14" t="str">
        <f>Start.listina!R51</f>
        <v>SK Španielka Řepy</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63</v>
      </c>
      <c r="B169" s="14">
        <f>Start.listina!I52</f>
        <v>16082</v>
      </c>
      <c r="C169" s="231" t="str">
        <f>Start.listina!J52</f>
        <v>Pastorek</v>
      </c>
      <c r="D169" s="14" t="str">
        <f>Start.listina!K52</f>
        <v>Jaroslav</v>
      </c>
      <c r="E169" s="14" t="str">
        <f>Start.listina!L52</f>
        <v>SK Španielka Řepy</v>
      </c>
      <c r="F169" s="14"/>
      <c r="G169" s="123">
        <f ca="1">IF(N(A169)&gt;0,VLOOKUP(A169,Body!$A$4:$F$259,5,0),"")</f>
        <v>1</v>
      </c>
      <c r="H169" s="7">
        <f ca="1">IF(N(A169)&gt;0,VLOOKUP(A169,Body!$A$4:$F$259,6,0),"")</f>
        <v>0</v>
      </c>
      <c r="I169" s="7">
        <f ca="1">IF(N(A169)&gt;0,VLOOKUP(A169,Body!$A$4:$F$259,2,0),"")</f>
        <v>0</v>
      </c>
    </row>
    <row r="170" spans="1:9">
      <c r="A170" s="14"/>
      <c r="B170" s="14">
        <f>Start.listina!O52</f>
        <v>16072</v>
      </c>
      <c r="C170" s="14" t="str">
        <f>Start.listina!P52</f>
        <v>Gazdíková</v>
      </c>
      <c r="D170" s="14" t="str">
        <f>Start.listina!Q52</f>
        <v>Jiřina</v>
      </c>
      <c r="E170" s="14" t="str">
        <f>Start.listina!R52</f>
        <v>SK Španielka Řepy</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32</v>
      </c>
      <c r="B173" s="14">
        <f>Start.listina!I53</f>
        <v>16089</v>
      </c>
      <c r="C173" s="231" t="str">
        <f>Start.listina!J53</f>
        <v>Řezník</v>
      </c>
      <c r="D173" s="14" t="str">
        <f>Start.listina!K53</f>
        <v>Alois</v>
      </c>
      <c r="E173" s="14" t="str">
        <f>Start.listina!L53</f>
        <v>SK Španielka Řepy</v>
      </c>
      <c r="F173" s="14"/>
      <c r="G173" s="123">
        <f ca="1">IF(N(A173)&gt;0,VLOOKUP(A173,Body!$A$4:$F$259,5,0),"")</f>
        <v>41.877062500000001</v>
      </c>
      <c r="H173" s="7">
        <f ca="1">IF(N(A173)&gt;0,VLOOKUP(A173,Body!$A$4:$F$259,6,0),"")</f>
        <v>0</v>
      </c>
      <c r="I173" s="7">
        <f ca="1">IF(N(A173)&gt;0,VLOOKUP(A173,Body!$A$4:$F$259,2,0),"")</f>
        <v>1</v>
      </c>
    </row>
    <row r="174" spans="1:9">
      <c r="A174" s="14"/>
      <c r="B174" s="14">
        <f>Start.listina!O53</f>
        <v>16090</v>
      </c>
      <c r="C174" s="14" t="str">
        <f>Start.listina!P53</f>
        <v>Řezníková</v>
      </c>
      <c r="D174" s="14" t="str">
        <f>Start.listina!Q53</f>
        <v>Marie</v>
      </c>
      <c r="E174" s="14" t="str">
        <f>Start.listina!R53</f>
        <v>SK Španielka Řepy</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14</v>
      </c>
      <c r="B177" s="14">
        <f>Start.listina!I54</f>
        <v>16058</v>
      </c>
      <c r="C177" s="231" t="str">
        <f>Start.listina!J54</f>
        <v>Nepomucký</v>
      </c>
      <c r="D177" s="14" t="str">
        <f>Start.listina!K54</f>
        <v>Jaroslav</v>
      </c>
      <c r="E177" s="14" t="str">
        <f>Start.listina!L54</f>
        <v>Spolek Park Grébovka</v>
      </c>
      <c r="F177" s="14"/>
      <c r="G177" s="123">
        <f ca="1">IF(N(A177)&gt;0,VLOOKUP(A177,Body!$A$4:$F$259,5,0),"")</f>
        <v>94.223390625000008</v>
      </c>
      <c r="H177" s="7">
        <f ca="1">IF(N(A177)&gt;0,VLOOKUP(A177,Body!$A$4:$F$259,6,0),"")</f>
        <v>0</v>
      </c>
      <c r="I177" s="7">
        <f ca="1">IF(N(A177)&gt;0,VLOOKUP(A177,Body!$A$4:$F$259,2,0),"")</f>
        <v>2.25</v>
      </c>
    </row>
    <row r="178" spans="1:9">
      <c r="A178" s="14"/>
      <c r="B178" s="14">
        <f>Start.listina!O54</f>
        <v>16065</v>
      </c>
      <c r="C178" s="14" t="str">
        <f>Start.listina!P54</f>
        <v>Hykl</v>
      </c>
      <c r="D178" s="14" t="str">
        <f>Start.listina!Q54</f>
        <v>Ondřej</v>
      </c>
      <c r="E178" s="14" t="str">
        <f>Start.listina!R54</f>
        <v>Spolek Park Grébovka</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32</v>
      </c>
      <c r="B181" s="14">
        <f>Start.listina!I55</f>
        <v>16060</v>
      </c>
      <c r="C181" s="231" t="str">
        <f>Start.listina!J55</f>
        <v>Kremlík</v>
      </c>
      <c r="D181" s="14" t="str">
        <f>Start.listina!K55</f>
        <v>Miroslav</v>
      </c>
      <c r="E181" s="14" t="str">
        <f>Start.listina!L55</f>
        <v>Spolek Park Grébovka</v>
      </c>
      <c r="F181" s="14"/>
      <c r="G181" s="123">
        <f ca="1">IF(N(A181)&gt;0,VLOOKUP(A181,Body!$A$4:$F$259,5,0),"")</f>
        <v>41.877062500000001</v>
      </c>
      <c r="H181" s="7">
        <f ca="1">IF(N(A181)&gt;0,VLOOKUP(A181,Body!$A$4:$F$259,6,0),"")</f>
        <v>0</v>
      </c>
      <c r="I181" s="7">
        <f ca="1">IF(N(A181)&gt;0,VLOOKUP(A181,Body!$A$4:$F$259,2,0),"")</f>
        <v>1</v>
      </c>
    </row>
    <row r="182" spans="1:9">
      <c r="A182" s="14"/>
      <c r="B182" s="14">
        <f>Start.listina!O55</f>
        <v>16064</v>
      </c>
      <c r="C182" s="14" t="str">
        <f>Start.listina!P55</f>
        <v>Hykl</v>
      </c>
      <c r="D182" s="14" t="str">
        <f>Start.listina!Q55</f>
        <v>Luboš</v>
      </c>
      <c r="E182" s="14" t="str">
        <f>Start.listina!R55</f>
        <v>Spolek Park Grébovka</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63</v>
      </c>
      <c r="B185" s="14">
        <f>Start.listina!I56</f>
        <v>16148</v>
      </c>
      <c r="C185" s="231" t="str">
        <f>Start.listina!J56</f>
        <v>Zderadička</v>
      </c>
      <c r="D185" s="14" t="str">
        <f>Start.listina!K56</f>
        <v>Jiří</v>
      </c>
      <c r="E185" s="14" t="str">
        <f>Start.listina!L56</f>
        <v>CdP Loděnice</v>
      </c>
      <c r="F185" s="14"/>
      <c r="G185" s="123">
        <f ca="1">IF(N(A185)&gt;0,VLOOKUP(A185,Body!$A$4:$F$259,5,0),"")</f>
        <v>1</v>
      </c>
      <c r="H185" s="7">
        <f ca="1">IF(N(A185)&gt;0,VLOOKUP(A185,Body!$A$4:$F$259,6,0),"")</f>
        <v>0</v>
      </c>
      <c r="I185" s="7">
        <f ca="1">IF(N(A185)&gt;0,VLOOKUP(A185,Body!$A$4:$F$259,2,0),"")</f>
        <v>0</v>
      </c>
    </row>
    <row r="186" spans="1:9">
      <c r="A186" s="14"/>
      <c r="B186" s="14">
        <f>Start.listina!O56</f>
        <v>16011</v>
      </c>
      <c r="C186" s="14" t="str">
        <f>Start.listina!P56</f>
        <v>Novotný</v>
      </c>
      <c r="D186" s="14" t="str">
        <f>Start.listina!Q56</f>
        <v>Karel</v>
      </c>
      <c r="E186" s="14" t="str">
        <f>Start.listina!R56</f>
        <v>CdP Loděnice</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32</v>
      </c>
      <c r="B189" s="14">
        <f>Start.listina!I57</f>
        <v>29052</v>
      </c>
      <c r="C189" s="231" t="str">
        <f>Start.listina!J57</f>
        <v>Paták</v>
      </c>
      <c r="D189" s="14" t="str">
        <f>Start.listina!K57</f>
        <v>Jan</v>
      </c>
      <c r="E189" s="14" t="str">
        <f>Start.listina!L57</f>
        <v>CdP Loděnice</v>
      </c>
      <c r="F189" s="14"/>
      <c r="G189" s="123">
        <f ca="1">IF(N(A189)&gt;0,VLOOKUP(A189,Body!$A$4:$F$259,5,0),"")</f>
        <v>41.877062500000001</v>
      </c>
      <c r="H189" s="7">
        <f ca="1">IF(N(A189)&gt;0,VLOOKUP(A189,Body!$A$4:$F$259,6,0),"")</f>
        <v>0</v>
      </c>
      <c r="I189" s="7">
        <f ca="1">IF(N(A189)&gt;0,VLOOKUP(A189,Body!$A$4:$F$259,2,0),"")</f>
        <v>1</v>
      </c>
    </row>
    <row r="190" spans="1:9">
      <c r="A190" s="14"/>
      <c r="B190" s="14">
        <f>Start.listina!O57</f>
        <v>29060</v>
      </c>
      <c r="C190" s="14" t="str">
        <f>Start.listina!P57</f>
        <v>Fatka</v>
      </c>
      <c r="D190" s="14" t="str">
        <f>Start.listina!Q57</f>
        <v>Stanislav ml.</v>
      </c>
      <c r="E190" s="14" t="str">
        <f>Start.listina!R57</f>
        <v>CdP Loděnice</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63</v>
      </c>
      <c r="B193" s="14">
        <f>Start.listina!I58</f>
        <v>21805</v>
      </c>
      <c r="C193" s="231" t="str">
        <f>Start.listina!J58</f>
        <v>Reinbergrová</v>
      </c>
      <c r="D193" s="14" t="str">
        <f>Start.listina!K58</f>
        <v>Václava</v>
      </c>
      <c r="E193" s="14" t="str">
        <f>Start.listina!L58</f>
        <v>PCP Lipník</v>
      </c>
      <c r="F193" s="14"/>
      <c r="G193" s="123">
        <f ca="1">IF(N(A193)&gt;0,VLOOKUP(A193,Body!$A$4:$F$259,5,0),"")</f>
        <v>1</v>
      </c>
      <c r="H193" s="7">
        <f ca="1">IF(N(A193)&gt;0,VLOOKUP(A193,Body!$A$4:$F$259,6,0),"")</f>
        <v>0</v>
      </c>
      <c r="I193" s="7">
        <f ca="1">IF(N(A193)&gt;0,VLOOKUP(A193,Body!$A$4:$F$259,2,0),"")</f>
        <v>0</v>
      </c>
    </row>
    <row r="194" spans="1:9">
      <c r="A194" s="14"/>
      <c r="B194" s="14">
        <f>Start.listina!O58</f>
        <v>16121</v>
      </c>
      <c r="C194" s="14" t="str">
        <f>Start.listina!P58</f>
        <v>Pražáková</v>
      </c>
      <c r="D194" s="14" t="str">
        <f>Start.listina!Q58</f>
        <v>Alena</v>
      </c>
      <c r="E194" s="14" t="str">
        <f>Start.listina!R58</f>
        <v>PCP Lipník</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63</v>
      </c>
      <c r="B197" s="14">
        <f>Start.listina!I59</f>
        <v>24315</v>
      </c>
      <c r="C197" s="231" t="str">
        <f>Start.listina!J59</f>
        <v>Hájková</v>
      </c>
      <c r="D197" s="14" t="str">
        <f>Start.listina!K59</f>
        <v>Dorota</v>
      </c>
      <c r="E197" s="14" t="str">
        <f>Start.listina!L59</f>
        <v>PEK Stolín</v>
      </c>
      <c r="F197" s="14"/>
      <c r="G197" s="123">
        <f ca="1">IF(N(A197)&gt;0,VLOOKUP(A197,Body!$A$4:$F$259,5,0),"")</f>
        <v>1</v>
      </c>
      <c r="H197" s="7">
        <f ca="1">IF(N(A197)&gt;0,VLOOKUP(A197,Body!$A$4:$F$259,6,0),"")</f>
        <v>0</v>
      </c>
      <c r="I197" s="7">
        <f ca="1">IF(N(A197)&gt;0,VLOOKUP(A197,Body!$A$4:$F$259,2,0),"")</f>
        <v>0</v>
      </c>
    </row>
    <row r="198" spans="1:9">
      <c r="A198" s="14"/>
      <c r="B198" s="14">
        <f>Start.listina!O59</f>
        <v>14057</v>
      </c>
      <c r="C198" s="14" t="str">
        <f>Start.listina!P59</f>
        <v>Jablonský</v>
      </c>
      <c r="D198" s="14" t="str">
        <f>Start.listina!Q59</f>
        <v>Lukáš</v>
      </c>
      <c r="E198" s="14" t="str">
        <f>Start.listina!R59</f>
        <v>PEK Stolín</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63</v>
      </c>
      <c r="B201" s="14">
        <f>Start.listina!I60</f>
        <v>96162</v>
      </c>
      <c r="C201" s="231" t="str">
        <f>Start.listina!J60</f>
        <v>Glaser</v>
      </c>
      <c r="D201" s="14" t="str">
        <f>Start.listina!K60</f>
        <v>Vladimír</v>
      </c>
      <c r="E201" s="14" t="str">
        <f>Start.listina!L60</f>
        <v>C.T.P. Club Ořech</v>
      </c>
      <c r="F201" s="14"/>
      <c r="G201" s="123">
        <f ca="1">IF(N(A201)&gt;0,VLOOKUP(A201,Body!$A$4:$F$259,5,0),"")</f>
        <v>1</v>
      </c>
      <c r="H201" s="7">
        <f ca="1">IF(N(A201)&gt;0,VLOOKUP(A201,Body!$A$4:$F$259,6,0),"")</f>
        <v>0</v>
      </c>
      <c r="I201" s="7">
        <f ca="1">IF(N(A201)&gt;0,VLOOKUP(A201,Body!$A$4:$F$259,2,0),"")</f>
        <v>0</v>
      </c>
    </row>
    <row r="202" spans="1:9">
      <c r="A202" s="14"/>
      <c r="B202" s="14">
        <f>Start.listina!O60</f>
        <v>96163</v>
      </c>
      <c r="C202" s="14" t="str">
        <f>Start.listina!P60</f>
        <v>Glaserová</v>
      </c>
      <c r="D202" s="14" t="str">
        <f>Start.listina!Q60</f>
        <v>Dana</v>
      </c>
      <c r="E202" s="14" t="str">
        <f>Start.listina!R60</f>
        <v>C.T.P. Club Ořech</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63</v>
      </c>
      <c r="B205" s="14">
        <f>Start.listina!I61</f>
        <v>15032</v>
      </c>
      <c r="C205" s="231" t="str">
        <f>Start.listina!J61</f>
        <v>Fára</v>
      </c>
      <c r="D205" s="14" t="str">
        <f>Start.listina!K61</f>
        <v>Jindřich</v>
      </c>
      <c r="E205" s="14" t="str">
        <f>Start.listina!L61</f>
        <v>SKP Kulová osma</v>
      </c>
      <c r="F205" s="14"/>
      <c r="G205" s="123">
        <f ca="1">IF(N(A205)&gt;0,VLOOKUP(A205,Body!$A$4:$F$259,5,0),"")</f>
        <v>1</v>
      </c>
      <c r="H205" s="7">
        <f ca="1">IF(N(A205)&gt;0,VLOOKUP(A205,Body!$A$4:$F$259,6,0),"")</f>
        <v>0</v>
      </c>
      <c r="I205" s="7">
        <f ca="1">IF(N(A205)&gt;0,VLOOKUP(A205,Body!$A$4:$F$259,2,0),"")</f>
        <v>0</v>
      </c>
    </row>
    <row r="206" spans="1:9">
      <c r="A206" s="14"/>
      <c r="B206" s="14">
        <f>Start.listina!O61</f>
        <v>15031</v>
      </c>
      <c r="C206" s="14" t="str">
        <f>Start.listina!P61</f>
        <v>Fárová</v>
      </c>
      <c r="D206" s="14" t="str">
        <f>Start.listina!Q61</f>
        <v>Helena</v>
      </c>
      <c r="E206" s="14" t="str">
        <f>Start.listina!R61</f>
        <v>SKP Kulová osma</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32</v>
      </c>
      <c r="B209" s="14">
        <f>Start.listina!I62</f>
        <v>13083</v>
      </c>
      <c r="C209" s="231" t="str">
        <f>Start.listina!J62</f>
        <v>Janoš</v>
      </c>
      <c r="D209" s="14" t="str">
        <f>Start.listina!K62</f>
        <v>Jiří</v>
      </c>
      <c r="E209" s="14" t="str">
        <f>Start.listina!L62</f>
        <v>CdP Loděnice</v>
      </c>
      <c r="F209" s="14"/>
      <c r="G209" s="123">
        <f ca="1">IF(N(A209)&gt;0,VLOOKUP(A209,Body!$A$4:$F$259,5,0),"")</f>
        <v>41.877062500000001</v>
      </c>
      <c r="H209" s="7">
        <f ca="1">IF(N(A209)&gt;0,VLOOKUP(A209,Body!$A$4:$F$259,6,0),"")</f>
        <v>0</v>
      </c>
      <c r="I209" s="7">
        <f ca="1">IF(N(A209)&gt;0,VLOOKUP(A209,Body!$A$4:$F$259,2,0),"")</f>
        <v>1</v>
      </c>
    </row>
    <row r="210" spans="1:9">
      <c r="A210" s="14"/>
      <c r="B210" s="14">
        <f>Start.listina!O62</f>
        <v>29053</v>
      </c>
      <c r="C210" s="14" t="str">
        <f>Start.listina!P62</f>
        <v>Hytych</v>
      </c>
      <c r="D210" s="14" t="str">
        <f>Start.listina!Q62</f>
        <v>Petr</v>
      </c>
      <c r="E210" s="14" t="str">
        <f>Start.listina!R62</f>
        <v>CdP Loděnice</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32</v>
      </c>
      <c r="B213" s="14">
        <f>Start.listina!I63</f>
        <v>97294</v>
      </c>
      <c r="C213" s="231" t="str">
        <f>Start.listina!J63</f>
        <v>Šimek</v>
      </c>
      <c r="D213" s="14" t="str">
        <f>Start.listina!K63</f>
        <v>Petr</v>
      </c>
      <c r="E213" s="14" t="str">
        <f>Start.listina!L63</f>
        <v>CP VARY</v>
      </c>
      <c r="F213" s="14"/>
      <c r="G213" s="123">
        <f ca="1">IF(N(A213)&gt;0,VLOOKUP(A213,Body!$A$4:$F$259,5,0),"")</f>
        <v>41.877062500000001</v>
      </c>
      <c r="H213" s="7">
        <f ca="1">IF(N(A213)&gt;0,VLOOKUP(A213,Body!$A$4:$F$259,6,0),"")</f>
        <v>0</v>
      </c>
      <c r="I213" s="7">
        <f ca="1">IF(N(A213)&gt;0,VLOOKUP(A213,Body!$A$4:$F$259,2,0),"")</f>
        <v>1</v>
      </c>
    </row>
    <row r="214" spans="1:9">
      <c r="A214" s="14"/>
      <c r="B214" s="14">
        <f>Start.listina!O63</f>
        <v>97291</v>
      </c>
      <c r="C214" s="14" t="str">
        <f>Start.listina!P63</f>
        <v>Končel</v>
      </c>
      <c r="D214" s="14" t="str">
        <f>Start.listina!Q63</f>
        <v>Petr</v>
      </c>
      <c r="E214" s="14" t="str">
        <f>Start.listina!R63</f>
        <v>CP VARY</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32</v>
      </c>
      <c r="B217" s="14">
        <f>Start.listina!I64</f>
        <v>15087</v>
      </c>
      <c r="C217" s="231" t="str">
        <f>Start.listina!J64</f>
        <v>Doubrava</v>
      </c>
      <c r="D217" s="14" t="str">
        <f>Start.listina!K64</f>
        <v>Antonín</v>
      </c>
      <c r="E217" s="14" t="str">
        <f>Start.listina!L64</f>
        <v>PCP Lipník</v>
      </c>
      <c r="F217" s="14"/>
      <c r="G217" s="123">
        <f ca="1">IF(N(A217)&gt;0,VLOOKUP(A217,Body!$A$4:$F$259,5,0),"")</f>
        <v>41.877062500000001</v>
      </c>
      <c r="H217" s="7">
        <f ca="1">IF(N(A217)&gt;0,VLOOKUP(A217,Body!$A$4:$F$259,6,0),"")</f>
        <v>0</v>
      </c>
      <c r="I217" s="7">
        <f ca="1">IF(N(A217)&gt;0,VLOOKUP(A217,Body!$A$4:$F$259,2,0),"")</f>
        <v>1</v>
      </c>
    </row>
    <row r="218" spans="1:9">
      <c r="A218" s="14"/>
      <c r="B218" s="14" t="str">
        <f>Start.listina!O64</f>
        <v/>
      </c>
      <c r="C218" s="14" t="str">
        <f>Start.listina!P64</f>
        <v>Jiřinka</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32</v>
      </c>
      <c r="B221" s="14">
        <f>Start.listina!I65</f>
        <v>16001</v>
      </c>
      <c r="C221" s="231" t="str">
        <f>Start.listina!J65</f>
        <v>Moucha</v>
      </c>
      <c r="D221" s="14" t="str">
        <f>Start.listina!K65</f>
        <v>Luboš</v>
      </c>
      <c r="E221" s="14" t="str">
        <f>Start.listina!L65</f>
        <v>PCP Lipník</v>
      </c>
      <c r="F221" s="14"/>
      <c r="G221" s="123">
        <f ca="1">IF(N(A221)&gt;0,VLOOKUP(A221,Body!$A$4:$F$259,5,0),"")</f>
        <v>41.877062500000001</v>
      </c>
      <c r="H221" s="7">
        <f ca="1">IF(N(A221)&gt;0,VLOOKUP(A221,Body!$A$4:$F$259,6,0),"")</f>
        <v>0</v>
      </c>
      <c r="I221" s="7">
        <f ca="1">IF(N(A221)&gt;0,VLOOKUP(A221,Body!$A$4:$F$259,2,0),"")</f>
        <v>1</v>
      </c>
    </row>
    <row r="222" spans="1:9">
      <c r="A222" s="14"/>
      <c r="B222" s="14" t="str">
        <f>Start.listina!O65</f>
        <v/>
      </c>
      <c r="C222" s="14" t="str">
        <f>Start.listina!P65</f>
        <v>Mouchová Květa</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63</v>
      </c>
      <c r="B225" s="14">
        <f>Start.listina!I66</f>
        <v>16095</v>
      </c>
      <c r="C225" s="231" t="str">
        <f>Start.listina!J66</f>
        <v>Szitányiová</v>
      </c>
      <c r="D225" s="14" t="str">
        <f>Start.listina!K66</f>
        <v>Mária</v>
      </c>
      <c r="E225" s="14" t="str">
        <f>Start.listina!L66</f>
        <v>SK Španielka Řepy</v>
      </c>
      <c r="F225" s="14"/>
      <c r="G225" s="123">
        <f ca="1">IF(N(A225)&gt;0,VLOOKUP(A225,Body!$A$4:$F$259,5,0),"")</f>
        <v>1</v>
      </c>
      <c r="H225" s="7">
        <f ca="1">IF(N(A225)&gt;0,VLOOKUP(A225,Body!$A$4:$F$259,6,0),"")</f>
        <v>0</v>
      </c>
      <c r="I225" s="7">
        <f ca="1">IF(N(A225)&gt;0,VLOOKUP(A225,Body!$A$4:$F$259,2,0),"")</f>
        <v>0</v>
      </c>
    </row>
    <row r="226" spans="1:9">
      <c r="A226" s="14"/>
      <c r="B226" s="14">
        <f>Start.listina!O66</f>
        <v>16079</v>
      </c>
      <c r="C226" s="14" t="str">
        <f>Start.listina!P66</f>
        <v>Kolaříková</v>
      </c>
      <c r="D226" s="14" t="str">
        <f>Start.listina!Q66</f>
        <v>Josefína</v>
      </c>
      <c r="E226" s="14" t="str">
        <f>Start.listina!R66</f>
        <v>SK Španielka Řepy</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63</v>
      </c>
      <c r="B229" s="14">
        <f>Start.listina!I67</f>
        <v>14097</v>
      </c>
      <c r="C229" s="231" t="str">
        <f>Start.listina!J67</f>
        <v>Leistnerová</v>
      </c>
      <c r="D229" s="14" t="str">
        <f>Start.listina!K67</f>
        <v>Lucie</v>
      </c>
      <c r="E229" s="14" t="str">
        <f>Start.listina!L67</f>
        <v>Orel Řečkovice</v>
      </c>
      <c r="F229" s="14"/>
      <c r="G229" s="123">
        <f ca="1">IF(N(A229)&gt;0,VLOOKUP(A229,Body!$A$4:$F$259,5,0),"")</f>
        <v>1</v>
      </c>
      <c r="H229" s="7">
        <f ca="1">IF(N(A229)&gt;0,VLOOKUP(A229,Body!$A$4:$F$259,6,0),"")</f>
        <v>0</v>
      </c>
      <c r="I229" s="7">
        <f ca="1">IF(N(A229)&gt;0,VLOOKUP(A229,Body!$A$4:$F$259,2,0),"")</f>
        <v>0</v>
      </c>
    </row>
    <row r="230" spans="1:9">
      <c r="A230" s="14"/>
      <c r="B230" s="14">
        <f>Start.listina!O67</f>
        <v>16052</v>
      </c>
      <c r="C230" s="14" t="str">
        <f>Start.listina!P67</f>
        <v>Krejčířová</v>
      </c>
      <c r="D230" s="14" t="str">
        <f>Start.listina!Q67</f>
        <v>Magda</v>
      </c>
      <c r="E230" s="14" t="str">
        <f>Start.listina!R67</f>
        <v>Orel Řečkovice</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63</v>
      </c>
      <c r="B233" s="14">
        <f>Start.listina!I68</f>
        <v>12036</v>
      </c>
      <c r="C233" s="231" t="str">
        <f>Start.listina!J68</f>
        <v>Pavýza</v>
      </c>
      <c r="D233" s="14" t="str">
        <f>Start.listina!K68</f>
        <v>Milan</v>
      </c>
      <c r="E233" s="14" t="str">
        <f>Start.listina!L68</f>
        <v>SKP Kulová osma</v>
      </c>
      <c r="F233" s="14"/>
      <c r="G233" s="123">
        <f ca="1">IF(N(A233)&gt;0,VLOOKUP(A233,Body!$A$4:$F$259,5,0),"")</f>
        <v>1</v>
      </c>
      <c r="H233" s="7">
        <f ca="1">IF(N(A233)&gt;0,VLOOKUP(A233,Body!$A$4:$F$259,6,0),"")</f>
        <v>0</v>
      </c>
      <c r="I233" s="7">
        <f ca="1">IF(N(A233)&gt;0,VLOOKUP(A233,Body!$A$4:$F$259,2,0),"")</f>
        <v>0</v>
      </c>
    </row>
    <row r="234" spans="1:9">
      <c r="A234" s="14"/>
      <c r="B234" s="14">
        <f>Start.listina!O68</f>
        <v>17051</v>
      </c>
      <c r="C234" s="14" t="str">
        <f>Start.listina!P68</f>
        <v>Jiřík</v>
      </c>
      <c r="D234" s="14" t="str">
        <f>Start.listina!Q68</f>
        <v>Václav</v>
      </c>
      <c r="E234" s="14" t="str">
        <f>Start.listina!R68</f>
        <v>SKP Kulová osma</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63</v>
      </c>
      <c r="B237" s="14">
        <f>Start.listina!I69</f>
        <v>97290</v>
      </c>
      <c r="C237" s="231" t="str">
        <f>Start.listina!J69</f>
        <v>Fürst</v>
      </c>
      <c r="D237" s="14" t="str">
        <f>Start.listina!K69</f>
        <v>Jiří</v>
      </c>
      <c r="E237" s="14" t="str">
        <f>Start.listina!L69</f>
        <v>CP VARY</v>
      </c>
      <c r="F237" s="14"/>
      <c r="G237" s="123">
        <f ca="1">IF(N(A237)&gt;0,VLOOKUP(A237,Body!$A$4:$F$259,5,0),"")</f>
        <v>1</v>
      </c>
      <c r="H237" s="7">
        <f ca="1">IF(N(A237)&gt;0,VLOOKUP(A237,Body!$A$4:$F$259,6,0),"")</f>
        <v>0</v>
      </c>
      <c r="I237" s="7">
        <f ca="1">IF(N(A237)&gt;0,VLOOKUP(A237,Body!$A$4:$F$259,2,0),"")</f>
        <v>0</v>
      </c>
    </row>
    <row r="238" spans="1:9">
      <c r="A238" s="14"/>
      <c r="B238" s="14" t="str">
        <f>Start.listina!O69</f>
        <v/>
      </c>
      <c r="C238" s="14" t="str">
        <f>Start.listina!P69</f>
        <v>Materna Aleš</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63</v>
      </c>
      <c r="B241" s="14">
        <f>Start.listina!I70</f>
        <v>25016</v>
      </c>
      <c r="C241" s="231" t="str">
        <f>Start.listina!J70</f>
        <v>Přibyl</v>
      </c>
      <c r="D241" s="14" t="str">
        <f>Start.listina!K70</f>
        <v>Miroslav</v>
      </c>
      <c r="E241" s="14" t="str">
        <f>Start.listina!L70</f>
        <v>PK Osika Plzeň</v>
      </c>
      <c r="F241" s="14"/>
      <c r="G241" s="123">
        <f ca="1">IF(N(A241)&gt;0,VLOOKUP(A241,Body!$A$4:$F$259,5,0),"")</f>
        <v>1</v>
      </c>
      <c r="H241" s="7">
        <f ca="1">IF(N(A241)&gt;0,VLOOKUP(A241,Body!$A$4:$F$259,6,0),"")</f>
        <v>0</v>
      </c>
      <c r="I241" s="7">
        <f ca="1">IF(N(A241)&gt;0,VLOOKUP(A241,Body!$A$4:$F$259,2,0),"")</f>
        <v>0</v>
      </c>
    </row>
    <row r="242" spans="1:9">
      <c r="A242" s="14"/>
      <c r="B242" s="14">
        <f>Start.listina!O70</f>
        <v>29021</v>
      </c>
      <c r="C242" s="14" t="str">
        <f>Start.listina!P70</f>
        <v>Přibylová</v>
      </c>
      <c r="D242" s="14" t="str">
        <f>Start.listina!Q70</f>
        <v>Eva</v>
      </c>
      <c r="E242" s="14" t="str">
        <f>Start.listina!R70</f>
        <v>PK Osika Plzeň</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63</v>
      </c>
      <c r="B245" s="14">
        <f>Start.listina!I71</f>
        <v>16084</v>
      </c>
      <c r="C245" s="231" t="str">
        <f>Start.listina!J71</f>
        <v>Prajer</v>
      </c>
      <c r="D245" s="14" t="str">
        <f>Start.listina!K71</f>
        <v>Milan</v>
      </c>
      <c r="E245" s="14" t="str">
        <f>Start.listina!L71</f>
        <v>SK Španielka Řepy</v>
      </c>
      <c r="F245" s="14"/>
      <c r="G245" s="123">
        <f ca="1">IF(N(A245)&gt;0,VLOOKUP(A245,Body!$A$4:$F$259,5,0),"")</f>
        <v>1</v>
      </c>
      <c r="H245" s="7">
        <f ca="1">IF(N(A245)&gt;0,VLOOKUP(A245,Body!$A$4:$F$259,6,0),"")</f>
        <v>0</v>
      </c>
      <c r="I245" s="7">
        <f ca="1">IF(N(A245)&gt;0,VLOOKUP(A245,Body!$A$4:$F$259,2,0),"")</f>
        <v>0</v>
      </c>
    </row>
    <row r="246" spans="1:9">
      <c r="A246" s="14"/>
      <c r="B246" s="14">
        <f>Start.listina!O71</f>
        <v>16041</v>
      </c>
      <c r="C246" s="14" t="str">
        <f>Start.listina!P71</f>
        <v>Krčková</v>
      </c>
      <c r="D246" s="14" t="str">
        <f>Start.listina!Q71</f>
        <v>Jiřina</v>
      </c>
      <c r="E246" s="14" t="str">
        <f>Start.listina!R71</f>
        <v>SENIOR TÝM Praha 1</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13</v>
      </c>
      <c r="B249" s="14">
        <f>Start.listina!I72</f>
        <v>12060</v>
      </c>
      <c r="C249" s="231" t="str">
        <f>Start.listina!J72</f>
        <v>Pospíšilová</v>
      </c>
      <c r="D249" s="14" t="str">
        <f>Start.listina!K72</f>
        <v>Šárka</v>
      </c>
      <c r="E249" s="14" t="str">
        <f>Start.listina!L72</f>
        <v>CdP Loděnice</v>
      </c>
      <c r="F249" s="14"/>
      <c r="G249" s="123">
        <f ca="1">IF(N(A249)&gt;0,VLOOKUP(A249,Body!$A$4:$F$259,5,0),"")</f>
        <v>99.458023437500003</v>
      </c>
      <c r="H249" s="7">
        <f ca="1">IF(N(A249)&gt;0,VLOOKUP(A249,Body!$A$4:$F$259,6,0),"")</f>
        <v>0</v>
      </c>
      <c r="I249" s="7">
        <f ca="1">IF(N(A249)&gt;0,VLOOKUP(A249,Body!$A$4:$F$259,2,0),"")</f>
        <v>2.375</v>
      </c>
    </row>
    <row r="250" spans="1:9">
      <c r="A250" s="14"/>
      <c r="B250" s="14" t="str">
        <f>Start.listina!O72</f>
        <v/>
      </c>
      <c r="C250" s="14" t="str">
        <f>Start.listina!P72</f>
        <v>Ondřej Pfeiffer</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63</v>
      </c>
      <c r="B253" s="14">
        <f>Start.listina!I73</f>
        <v>16081</v>
      </c>
      <c r="C253" s="231" t="str">
        <f>Start.listina!J73</f>
        <v>Novotná</v>
      </c>
      <c r="D253" s="14" t="str">
        <f>Start.listina!K73</f>
        <v>Marie</v>
      </c>
      <c r="E253" s="14" t="str">
        <f>Start.listina!L73</f>
        <v>SK Španielka Řepy</v>
      </c>
      <c r="F253" s="14"/>
      <c r="G253" s="123">
        <f ca="1">IF(N(A253)&gt;0,VLOOKUP(A253,Body!$A$4:$F$259,5,0),"")</f>
        <v>1</v>
      </c>
      <c r="H253" s="7">
        <f ca="1">IF(N(A253)&gt;0,VLOOKUP(A253,Body!$A$4:$F$259,6,0),"")</f>
        <v>0</v>
      </c>
      <c r="I253" s="7">
        <f ca="1">IF(N(A253)&gt;0,VLOOKUP(A253,Body!$A$4:$F$259,2,0),"")</f>
        <v>0</v>
      </c>
    </row>
    <row r="254" spans="1:9">
      <c r="A254" s="14"/>
      <c r="B254" s="14">
        <f>Start.listina!O73</f>
        <v>17010</v>
      </c>
      <c r="C254" s="14" t="str">
        <f>Start.listina!P73</f>
        <v>Hynková</v>
      </c>
      <c r="D254" s="14" t="str">
        <f>Start.listina!Q73</f>
        <v>Renata</v>
      </c>
      <c r="E254" s="14" t="str">
        <f>Start.listina!R73</f>
        <v>SK Španielka Řepy</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1134</v>
      </c>
      <c r="C2" s="495"/>
      <c r="D2" s="495"/>
      <c r="E2" s="496"/>
    </row>
    <row r="3" spans="1:5">
      <c r="C3" s="164" t="s">
        <v>1135</v>
      </c>
    </row>
    <row r="5" spans="1:5" ht="15.75">
      <c r="B5" s="497" t="s">
        <v>1136</v>
      </c>
    </row>
    <row r="6" spans="1:5">
      <c r="C6" s="164" t="s">
        <v>1137</v>
      </c>
      <c r="E6" s="328"/>
    </row>
    <row r="7" spans="1:5" ht="15.75">
      <c r="A7" s="164"/>
      <c r="C7" s="164" t="s">
        <v>1138</v>
      </c>
      <c r="E7" s="498"/>
    </row>
    <row r="8" spans="1:5" ht="15.75">
      <c r="A8" s="164"/>
      <c r="C8" s="164" t="s">
        <v>1139</v>
      </c>
      <c r="E8" s="499"/>
    </row>
    <row r="9" spans="1:5">
      <c r="C9" s="164" t="s">
        <v>1140</v>
      </c>
      <c r="E9" s="328"/>
    </row>
    <row r="10" spans="1:5" ht="15.75">
      <c r="C10" s="164" t="s">
        <v>1141</v>
      </c>
      <c r="E10" s="500"/>
    </row>
    <row r="11" spans="1:5">
      <c r="C11" s="164" t="s">
        <v>1142</v>
      </c>
      <c r="E11" s="328"/>
    </row>
    <row r="12" spans="1:5">
      <c r="C12" s="164" t="s">
        <v>1143</v>
      </c>
      <c r="E12" s="328"/>
    </row>
    <row r="13" spans="1:5">
      <c r="C13" s="164" t="s">
        <v>1144</v>
      </c>
      <c r="E13" s="328"/>
    </row>
    <row r="14" spans="1:5">
      <c r="C14" s="164" t="s">
        <v>1145</v>
      </c>
      <c r="E14" s="328"/>
    </row>
    <row r="15" spans="1:5">
      <c r="C15" s="164" t="s">
        <v>1146</v>
      </c>
      <c r="E15" s="328"/>
    </row>
    <row r="16" spans="1:5">
      <c r="C16" s="164" t="s">
        <v>1147</v>
      </c>
      <c r="E16" s="328"/>
    </row>
    <row r="17" spans="3:5">
      <c r="C17" s="164" t="s">
        <v>1148</v>
      </c>
      <c r="E17" s="328"/>
    </row>
    <row r="18" spans="3:5">
      <c r="C18" s="164" t="s">
        <v>1149</v>
      </c>
      <c r="E18" s="328"/>
    </row>
    <row r="19" spans="3:5">
      <c r="C19" s="164" t="s">
        <v>1150</v>
      </c>
      <c r="E19" s="328"/>
    </row>
    <row r="20" spans="3:5">
      <c r="C20" s="164" t="s">
        <v>1158</v>
      </c>
      <c r="E20" s="328"/>
    </row>
    <row r="21" spans="3:5">
      <c r="C21" s="164"/>
      <c r="E21" s="328"/>
    </row>
    <row r="22" spans="3:5">
      <c r="C22" s="164" t="s">
        <v>1151</v>
      </c>
      <c r="E22" s="328"/>
    </row>
    <row r="23" spans="3:5">
      <c r="C23" s="164"/>
      <c r="E23" s="328"/>
    </row>
    <row r="24" spans="3:5">
      <c r="C24" s="164" t="s">
        <v>1152</v>
      </c>
      <c r="E24" s="328"/>
    </row>
    <row r="25" spans="3:5">
      <c r="C25" s="164"/>
      <c r="E25" s="328"/>
    </row>
    <row r="26" spans="3:5">
      <c r="C26" s="164" t="s">
        <v>1153</v>
      </c>
      <c r="E26" s="328"/>
    </row>
    <row r="27" spans="3:5">
      <c r="C27" s="164"/>
      <c r="E27" s="328"/>
    </row>
    <row r="28" spans="3:5">
      <c r="C28" s="164" t="s">
        <v>1154</v>
      </c>
      <c r="E28" s="328"/>
    </row>
    <row r="29" spans="3:5">
      <c r="C29" s="164"/>
      <c r="E29" s="328"/>
    </row>
    <row r="30" spans="3:5">
      <c r="C30" s="164" t="s">
        <v>1155</v>
      </c>
      <c r="E30" s="32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41.877062500000001</v>
      </c>
      <c r="G1" s="7"/>
    </row>
    <row r="2" spans="1:7" ht="34.15" customHeight="1" thickBot="1">
      <c r="A2" s="117">
        <f>Start.listina!$K$2</f>
        <v>17074</v>
      </c>
      <c r="B2" s="115" t="str">
        <f>Start.listina!$K$4</f>
        <v>Ostře sledované koule</v>
      </c>
      <c r="C2" s="116"/>
      <c r="D2" s="116"/>
      <c r="E2" s="124"/>
      <c r="G2" s="7"/>
    </row>
    <row r="3" spans="1:7" ht="21.75" customHeight="1" thickBot="1">
      <c r="A3" s="7"/>
      <c r="B3" s="7"/>
      <c r="C3" s="7"/>
      <c r="D3" s="7"/>
      <c r="E3" s="13" t="s">
        <v>303</v>
      </c>
      <c r="F3" s="7">
        <f>SUM(F5:F20)</f>
        <v>670.03300000000002</v>
      </c>
      <c r="G3" s="7"/>
    </row>
    <row r="4" spans="1:7" ht="24.75" customHeight="1" thickBot="1">
      <c r="A4" s="103" t="s">
        <v>58</v>
      </c>
      <c r="B4" s="103" t="s">
        <v>129</v>
      </c>
      <c r="C4" s="103" t="s">
        <v>59</v>
      </c>
      <c r="D4" s="103" t="s">
        <v>60</v>
      </c>
      <c r="E4" s="104" t="s">
        <v>61</v>
      </c>
      <c r="F4" s="104" t="s">
        <v>301</v>
      </c>
      <c r="G4" s="7"/>
    </row>
    <row r="5" spans="1:7">
      <c r="A5" s="351">
        <f>Start.listina!I11</f>
        <v>29062</v>
      </c>
      <c r="B5" s="401" t="str">
        <f>Start.listina!J11</f>
        <v>Vavrovič</v>
      </c>
      <c r="C5" s="351" t="str">
        <f>Start.listina!K11</f>
        <v>Petr ml.</v>
      </c>
      <c r="D5" s="351" t="str">
        <f>Start.listina!L11</f>
        <v>PC Sokol Lipník</v>
      </c>
      <c r="E5" s="351">
        <f>Start.listina!M11</f>
        <v>5</v>
      </c>
      <c r="F5" s="351">
        <f>Start.listina!N11</f>
        <v>57.25</v>
      </c>
      <c r="G5" s="7"/>
    </row>
    <row r="6" spans="1:7">
      <c r="A6" s="351">
        <f>Start.listina!I13</f>
        <v>12020</v>
      </c>
      <c r="B6" s="401" t="str">
        <f>Start.listina!J13</f>
        <v>Fafek</v>
      </c>
      <c r="C6" s="351" t="str">
        <f>Start.listina!K13</f>
        <v>Petr</v>
      </c>
      <c r="D6" s="351" t="str">
        <f>Start.listina!L13</f>
        <v>PC Sokol Lipník</v>
      </c>
      <c r="E6" s="351">
        <f>Start.listina!M13</f>
        <v>36</v>
      </c>
      <c r="F6" s="351">
        <f>Start.listina!N13</f>
        <v>51.75</v>
      </c>
      <c r="G6" s="7"/>
    </row>
    <row r="7" spans="1:7">
      <c r="A7" s="351">
        <f>Start.listina!I14</f>
        <v>27039</v>
      </c>
      <c r="B7" s="401" t="str">
        <f>Start.listina!J14</f>
        <v>Kauca</v>
      </c>
      <c r="C7" s="351" t="str">
        <f>Start.listina!K14</f>
        <v>Jindřich</v>
      </c>
      <c r="D7" s="351" t="str">
        <f>Start.listina!L14</f>
        <v>PC Kolová</v>
      </c>
      <c r="E7" s="351">
        <f>Start.listina!M14</f>
        <v>9</v>
      </c>
      <c r="F7" s="351">
        <f>Start.listina!N14</f>
        <v>49.5</v>
      </c>
      <c r="G7" s="7"/>
    </row>
    <row r="8" spans="1:7">
      <c r="A8" s="351">
        <f>Start.listina!O16</f>
        <v>98446</v>
      </c>
      <c r="B8" s="401" t="str">
        <f>Start.listina!P16</f>
        <v>Morávek</v>
      </c>
      <c r="C8" s="351" t="str">
        <f>Start.listina!Q16</f>
        <v>Petr</v>
      </c>
      <c r="D8" s="351" t="str">
        <f>Start.listina!R16</f>
        <v>PC Sokol Lipník</v>
      </c>
      <c r="E8" s="351">
        <f>Start.listina!S16</f>
        <v>15</v>
      </c>
      <c r="F8" s="351">
        <f>Start.listina!T16</f>
        <v>47.875</v>
      </c>
      <c r="G8" s="7"/>
    </row>
    <row r="9" spans="1:7">
      <c r="A9" s="351">
        <f>Start.listina!O12</f>
        <v>99574</v>
      </c>
      <c r="B9" s="401" t="str">
        <f>Start.listina!P12</f>
        <v>Demčíková</v>
      </c>
      <c r="C9" s="351" t="str">
        <f>Start.listina!Q12</f>
        <v>Jiřina</v>
      </c>
      <c r="D9" s="351" t="str">
        <f>Start.listina!R12</f>
        <v>SK Sahara Vědomice</v>
      </c>
      <c r="E9" s="351">
        <f>Start.listina!S12</f>
        <v>38</v>
      </c>
      <c r="F9" s="351">
        <f>Start.listina!T12</f>
        <v>46.75</v>
      </c>
      <c r="G9" s="7"/>
    </row>
    <row r="10" spans="1:7">
      <c r="A10" s="351">
        <f>Start.listina!O15</f>
        <v>14075</v>
      </c>
      <c r="B10" s="401" t="str">
        <f>Start.listina!P15</f>
        <v>Froňková</v>
      </c>
      <c r="C10" s="351" t="str">
        <f>Start.listina!Q15</f>
        <v>Kateřina</v>
      </c>
      <c r="D10" s="351" t="str">
        <f>Start.listina!R15</f>
        <v>PC Sokol Lipník</v>
      </c>
      <c r="E10" s="351">
        <f>Start.listina!S15</f>
        <v>21</v>
      </c>
      <c r="F10" s="351">
        <f>Start.listina!T15</f>
        <v>44.75</v>
      </c>
      <c r="G10" s="7"/>
    </row>
    <row r="11" spans="1:7">
      <c r="A11" s="351">
        <f>Start.listina!I26</f>
        <v>23054</v>
      </c>
      <c r="B11" s="401" t="str">
        <f>Start.listina!J26</f>
        <v>Mašek</v>
      </c>
      <c r="C11" s="351" t="str">
        <f>Start.listina!K26</f>
        <v>Pavel</v>
      </c>
      <c r="D11" s="351" t="str">
        <f>Start.listina!L26</f>
        <v>1. KPK Vrchlabí</v>
      </c>
      <c r="E11" s="351">
        <f>Start.listina!M26</f>
        <v>26</v>
      </c>
      <c r="F11" s="351">
        <f>Start.listina!N26</f>
        <v>44.125</v>
      </c>
      <c r="G11" s="7"/>
    </row>
    <row r="12" spans="1:7">
      <c r="A12" s="351">
        <f>Start.listina!I12</f>
        <v>99510</v>
      </c>
      <c r="B12" s="401" t="str">
        <f>Start.listina!J12</f>
        <v>Demčík</v>
      </c>
      <c r="C12" s="351" t="str">
        <f>Start.listina!K12</f>
        <v>Milan St.</v>
      </c>
      <c r="D12" s="351" t="str">
        <f>Start.listina!L12</f>
        <v>SK Sahara Vědomice</v>
      </c>
      <c r="E12" s="351">
        <f>Start.listina!M12</f>
        <v>63</v>
      </c>
      <c r="F12" s="351">
        <f>Start.listina!N12</f>
        <v>42.75</v>
      </c>
      <c r="G12" s="7"/>
    </row>
    <row r="13" spans="1:7">
      <c r="A13" s="351">
        <f>Start.listina!O17</f>
        <v>28050</v>
      </c>
      <c r="B13" s="401" t="str">
        <f>Start.listina!P17</f>
        <v>Beránek</v>
      </c>
      <c r="C13" s="351" t="str">
        <f>Start.listina!Q17</f>
        <v>Miroslav</v>
      </c>
      <c r="D13" s="351" t="str">
        <f>Start.listina!R17</f>
        <v>PC Kolová</v>
      </c>
      <c r="E13" s="351">
        <f>Start.listina!S17</f>
        <v>56</v>
      </c>
      <c r="F13" s="351">
        <f>Start.listina!T17</f>
        <v>38.125</v>
      </c>
      <c r="G13" s="7"/>
    </row>
    <row r="14" spans="1:7">
      <c r="A14" s="351">
        <f>Start.listina!I24</f>
        <v>14079</v>
      </c>
      <c r="B14" s="401" t="str">
        <f>Start.listina!J24</f>
        <v>Vorel</v>
      </c>
      <c r="C14" s="351" t="str">
        <f>Start.listina!K24</f>
        <v>Jan</v>
      </c>
      <c r="D14" s="351" t="str">
        <f>Start.listina!L24</f>
        <v>Petank Club Praha</v>
      </c>
      <c r="E14" s="351">
        <f>Start.listina!M24</f>
        <v>83</v>
      </c>
      <c r="F14" s="351">
        <f>Start.listina!N24</f>
        <v>37.5</v>
      </c>
      <c r="G14" s="7"/>
    </row>
    <row r="15" spans="1:7">
      <c r="A15" s="351">
        <f>Start.listina!O13</f>
        <v>13044</v>
      </c>
      <c r="B15" s="401" t="str">
        <f>Start.listina!P13</f>
        <v>Fafková</v>
      </c>
      <c r="C15" s="351" t="str">
        <f>Start.listina!Q13</f>
        <v>Jana</v>
      </c>
      <c r="D15" s="351" t="str">
        <f>Start.listina!R13</f>
        <v>PC Sokol Lipník</v>
      </c>
      <c r="E15" s="351">
        <f>Start.listina!S13</f>
        <v>65</v>
      </c>
      <c r="F15" s="351">
        <f>Start.listina!T13</f>
        <v>36.094000000000001</v>
      </c>
      <c r="G15" s="7"/>
    </row>
    <row r="16" spans="1:7">
      <c r="A16" s="351">
        <f>Start.listina!I15</f>
        <v>29049</v>
      </c>
      <c r="B16" s="401" t="str">
        <f>Start.listina!J15</f>
        <v>Marhoul</v>
      </c>
      <c r="C16" s="351" t="str">
        <f>Start.listina!K15</f>
        <v>Jan</v>
      </c>
      <c r="D16" s="351" t="str">
        <f>Start.listina!L15</f>
        <v>CdP Loděnice</v>
      </c>
      <c r="E16" s="351">
        <f>Start.listina!M15</f>
        <v>52</v>
      </c>
      <c r="F16" s="351">
        <f>Start.listina!N15</f>
        <v>35.5</v>
      </c>
      <c r="G16" s="7"/>
    </row>
    <row r="17" spans="1:7">
      <c r="A17" s="351">
        <f>Start.listina!O11</f>
        <v>12086</v>
      </c>
      <c r="B17" s="401" t="str">
        <f>Start.listina!P11</f>
        <v>Froněk</v>
      </c>
      <c r="C17" s="351" t="str">
        <f>Start.listina!Q11</f>
        <v>Jiří</v>
      </c>
      <c r="D17" s="351" t="str">
        <f>Start.listina!R11</f>
        <v>CdP Loděnice</v>
      </c>
      <c r="E17" s="351">
        <f>Start.listina!S11</f>
        <v>51</v>
      </c>
      <c r="F17" s="351">
        <f>Start.listina!T11</f>
        <v>35</v>
      </c>
      <c r="G17" s="7"/>
    </row>
    <row r="18" spans="1:7">
      <c r="A18" s="351">
        <f>Start.listina!O23</f>
        <v>99590</v>
      </c>
      <c r="B18" s="401" t="str">
        <f>Start.listina!P23</f>
        <v>Kacerovský</v>
      </c>
      <c r="C18" s="351" t="str">
        <f>Start.listina!Q23</f>
        <v>Ivo</v>
      </c>
      <c r="D18" s="351" t="str">
        <f>Start.listina!R23</f>
        <v>PC Kolová</v>
      </c>
      <c r="E18" s="351">
        <f>Start.listina!S23</f>
        <v>71</v>
      </c>
      <c r="F18" s="351">
        <f>Start.listina!T23</f>
        <v>34.75</v>
      </c>
      <c r="G18" s="7"/>
    </row>
    <row r="19" spans="1:7">
      <c r="A19" s="351">
        <f>Start.listina!I18</f>
        <v>11039</v>
      </c>
      <c r="B19" s="401" t="str">
        <f>Start.listina!J18</f>
        <v>Lukáš</v>
      </c>
      <c r="C19" s="351" t="str">
        <f>Start.listina!K18</f>
        <v>Vojtěch</v>
      </c>
      <c r="D19" s="351" t="str">
        <f>Start.listina!L18</f>
        <v>PLUK Jablonec</v>
      </c>
      <c r="E19" s="351">
        <f>Start.listina!M18</f>
        <v>27</v>
      </c>
      <c r="F19" s="351">
        <f>Start.listina!N18</f>
        <v>34.189</v>
      </c>
      <c r="G19" s="7"/>
    </row>
    <row r="20" spans="1:7">
      <c r="A20" s="351">
        <f>Start.listina!I42</f>
        <v>25017</v>
      </c>
      <c r="B20" s="401" t="str">
        <f>Start.listina!J42</f>
        <v>Radoušová</v>
      </c>
      <c r="C20" s="351" t="str">
        <f>Start.listina!K42</f>
        <v>Jana</v>
      </c>
      <c r="D20" s="351" t="str">
        <f>Start.listina!L42</f>
        <v>PK Osika Plzeň</v>
      </c>
      <c r="E20" s="351">
        <f>Start.listina!M42</f>
        <v>50</v>
      </c>
      <c r="F20" s="351">
        <f>Start.listina!N42</f>
        <v>34.125</v>
      </c>
      <c r="G20" s="7"/>
    </row>
    <row r="21" spans="1:7">
      <c r="A21" s="351">
        <f>Start.listina!O29</f>
        <v>27088</v>
      </c>
      <c r="B21" s="401" t="str">
        <f>Start.listina!P29</f>
        <v>Mandíková</v>
      </c>
      <c r="C21" s="351" t="str">
        <f>Start.listina!Q29</f>
        <v>Sylva</v>
      </c>
      <c r="D21" s="351" t="str">
        <f>Start.listina!R29</f>
        <v>PCP Lipník</v>
      </c>
      <c r="E21" s="351">
        <f>Start.listina!S29</f>
        <v>70</v>
      </c>
      <c r="F21" s="351">
        <f>Start.listina!T29</f>
        <v>34</v>
      </c>
      <c r="G21" s="7"/>
    </row>
    <row r="22" spans="1:7">
      <c r="A22" s="351">
        <f>Start.listina!O19</f>
        <v>15023</v>
      </c>
      <c r="B22" s="401" t="str">
        <f>Start.listina!P19</f>
        <v>Přibyl</v>
      </c>
      <c r="C22" s="351" t="str">
        <f>Start.listina!Q19</f>
        <v>Miloš</v>
      </c>
      <c r="D22" s="351" t="str">
        <f>Start.listina!R19</f>
        <v>SK Sahara Vědomice</v>
      </c>
      <c r="E22" s="351">
        <f>Start.listina!S19</f>
        <v>68</v>
      </c>
      <c r="F22" s="351">
        <f>Start.listina!T19</f>
        <v>33.75</v>
      </c>
      <c r="G22" s="7"/>
    </row>
    <row r="23" spans="1:7">
      <c r="A23" s="351">
        <f>Start.listina!O31</f>
        <v>10163</v>
      </c>
      <c r="B23" s="401" t="str">
        <f>Start.listina!P31</f>
        <v>Vaníčková</v>
      </c>
      <c r="C23" s="351" t="str">
        <f>Start.listina!Q31</f>
        <v>Alena</v>
      </c>
      <c r="D23" s="351" t="str">
        <f>Start.listina!R31</f>
        <v>Sokol Kostomlaty</v>
      </c>
      <c r="E23" s="351">
        <f>Start.listina!S31</f>
        <v>58</v>
      </c>
      <c r="F23" s="351">
        <f>Start.listina!T31</f>
        <v>33.625</v>
      </c>
      <c r="G23" s="7"/>
    </row>
    <row r="24" spans="1:7">
      <c r="A24" s="351">
        <f>Start.listina!O27</f>
        <v>96217</v>
      </c>
      <c r="B24" s="401" t="str">
        <f>Start.listina!P27</f>
        <v>Gorroňo López</v>
      </c>
      <c r="C24" s="351" t="str">
        <f>Start.listina!Q27</f>
        <v>Rubi</v>
      </c>
      <c r="D24" s="351" t="str">
        <f>Start.listina!R27</f>
        <v>PC Sokol Lipník</v>
      </c>
      <c r="E24" s="351">
        <f>Start.listina!S27</f>
        <v>93</v>
      </c>
      <c r="F24" s="351">
        <f>Start.listina!T27</f>
        <v>33</v>
      </c>
      <c r="G24" s="7"/>
    </row>
    <row r="25" spans="1:7">
      <c r="A25" s="351">
        <f>Start.listina!O21</f>
        <v>27080</v>
      </c>
      <c r="B25" s="401" t="str">
        <f>Start.listina!P21</f>
        <v>Čihák</v>
      </c>
      <c r="C25" s="351" t="str">
        <f>Start.listina!Q21</f>
        <v>Josef</v>
      </c>
      <c r="D25" s="351" t="str">
        <f>Start.listina!R21</f>
        <v>PCP Lipník</v>
      </c>
      <c r="E25" s="351">
        <f>Start.listina!S21</f>
        <v>80</v>
      </c>
      <c r="F25" s="351">
        <f>Start.listina!T21</f>
        <v>32.625</v>
      </c>
      <c r="G25" s="7"/>
    </row>
    <row r="26" spans="1:7">
      <c r="A26" s="351">
        <f>Start.listina!I19</f>
        <v>15047</v>
      </c>
      <c r="B26" s="401" t="str">
        <f>Start.listina!J19</f>
        <v>Mikyška</v>
      </c>
      <c r="C26" s="351" t="str">
        <f>Start.listina!K19</f>
        <v>Milan</v>
      </c>
      <c r="D26" s="351" t="str">
        <f>Start.listina!L19</f>
        <v>SK Sahara Vědomice</v>
      </c>
      <c r="E26" s="351">
        <f>Start.listina!M19</f>
        <v>81</v>
      </c>
      <c r="F26" s="351">
        <f>Start.listina!N19</f>
        <v>32.125</v>
      </c>
      <c r="G26" s="7"/>
    </row>
    <row r="27" spans="1:7">
      <c r="A27" s="351">
        <f>Start.listina!O18</f>
        <v>14024</v>
      </c>
      <c r="B27" s="401" t="str">
        <f>Start.listina!P18</f>
        <v>Palicová</v>
      </c>
      <c r="C27" s="351" t="str">
        <f>Start.listina!Q18</f>
        <v>Markéta</v>
      </c>
      <c r="D27" s="351" t="str">
        <f>Start.listina!R18</f>
        <v>PLUK Jablonec</v>
      </c>
      <c r="E27" s="351">
        <f>Start.listina!S18</f>
        <v>35</v>
      </c>
      <c r="F27" s="351">
        <f>Start.listina!T18</f>
        <v>31.782</v>
      </c>
      <c r="G27" s="7"/>
    </row>
    <row r="28" spans="1:7">
      <c r="A28" s="351">
        <f>Start.listina!I25</f>
        <v>15067</v>
      </c>
      <c r="B28" s="401" t="str">
        <f>Start.listina!J25</f>
        <v>Vyoral</v>
      </c>
      <c r="C28" s="351" t="str">
        <f>Start.listina!K25</f>
        <v>Hynek</v>
      </c>
      <c r="D28" s="351" t="str">
        <f>Start.listina!L25</f>
        <v>Sokol Kostomlaty</v>
      </c>
      <c r="E28" s="351">
        <f>Start.listina!M25</f>
        <v>62</v>
      </c>
      <c r="F28" s="351">
        <f>Start.listina!N25</f>
        <v>31.25</v>
      </c>
      <c r="G28" s="7"/>
    </row>
    <row r="29" spans="1:7">
      <c r="A29" s="351">
        <f>Start.listina!I20</f>
        <v>12038</v>
      </c>
      <c r="B29" s="401" t="str">
        <f>Start.listina!J20</f>
        <v>Krejčín</v>
      </c>
      <c r="C29" s="351" t="str">
        <f>Start.listina!K20</f>
        <v>Leoš</v>
      </c>
      <c r="D29" s="351" t="str">
        <f>Start.listina!L20</f>
        <v>SKP Kulová osma</v>
      </c>
      <c r="E29" s="351">
        <f>Start.listina!M20</f>
        <v>41</v>
      </c>
      <c r="F29" s="351">
        <f>Start.listina!N20</f>
        <v>31.187999999999999</v>
      </c>
      <c r="G29" s="7"/>
    </row>
    <row r="30" spans="1:7">
      <c r="A30" s="351">
        <f>Start.listina!O20</f>
        <v>12037</v>
      </c>
      <c r="B30" s="401" t="str">
        <f>Start.listina!P20</f>
        <v>Krejčínová</v>
      </c>
      <c r="C30" s="351" t="str">
        <f>Start.listina!Q20</f>
        <v>Lenka</v>
      </c>
      <c r="D30" s="351" t="str">
        <f>Start.listina!R20</f>
        <v>SKP Kulová osma</v>
      </c>
      <c r="E30" s="351">
        <f>Start.listina!S20</f>
        <v>39</v>
      </c>
      <c r="F30" s="351">
        <f>Start.listina!T20</f>
        <v>31.187999999999999</v>
      </c>
      <c r="G30" s="7"/>
    </row>
    <row r="31" spans="1:7">
      <c r="A31" s="351">
        <f>Start.listina!O14</f>
        <v>21754</v>
      </c>
      <c r="B31" s="401" t="str">
        <f>Start.listina!P14</f>
        <v>Valenz</v>
      </c>
      <c r="C31" s="351" t="str">
        <f>Start.listina!Q14</f>
        <v>Jan</v>
      </c>
      <c r="D31" s="351" t="str">
        <f>Start.listina!R14</f>
        <v>PK Osika Plzeň</v>
      </c>
      <c r="E31" s="351">
        <f>Start.listina!S14</f>
        <v>78</v>
      </c>
      <c r="F31" s="351">
        <f>Start.listina!T14</f>
        <v>30.844000000000001</v>
      </c>
      <c r="G31" s="7"/>
    </row>
    <row r="32" spans="1:7">
      <c r="A32" s="351">
        <f>Start.listina!I28</f>
        <v>29009</v>
      </c>
      <c r="B32" s="401" t="str">
        <f>Start.listina!J28</f>
        <v>Proroková</v>
      </c>
      <c r="C32" s="351" t="str">
        <f>Start.listina!K28</f>
        <v>Dana</v>
      </c>
      <c r="D32" s="351" t="str">
        <f>Start.listina!L28</f>
        <v>PCP Lipník</v>
      </c>
      <c r="E32" s="351">
        <f>Start.listina!M28</f>
        <v>103</v>
      </c>
      <c r="F32" s="351">
        <f>Start.listina!N28</f>
        <v>30.219000000000001</v>
      </c>
      <c r="G32" s="7"/>
    </row>
    <row r="33" spans="1:7">
      <c r="A33" s="351">
        <f>Start.listina!I22</f>
        <v>15011</v>
      </c>
      <c r="B33" s="401" t="str">
        <f>Start.listina!J22</f>
        <v>Chmelař</v>
      </c>
      <c r="C33" s="351" t="str">
        <f>Start.listina!K22</f>
        <v>Ivo</v>
      </c>
      <c r="D33" s="351" t="str">
        <f>Start.listina!L22</f>
        <v>SKP Kulová osma</v>
      </c>
      <c r="E33" s="351">
        <f>Start.listina!M22</f>
        <v>85</v>
      </c>
      <c r="F33" s="351">
        <f>Start.listina!N22</f>
        <v>29.875</v>
      </c>
      <c r="G33" s="7"/>
    </row>
    <row r="34" spans="1:7">
      <c r="A34" s="351">
        <f>Start.listina!I17</f>
        <v>12070</v>
      </c>
      <c r="B34" s="401" t="str">
        <f>Start.listina!J17</f>
        <v>Mrázek</v>
      </c>
      <c r="C34" s="351" t="str">
        <f>Start.listina!K17</f>
        <v>Petr</v>
      </c>
      <c r="D34" s="351" t="str">
        <f>Start.listina!L17</f>
        <v>CdP Loděnice</v>
      </c>
      <c r="E34" s="351">
        <f>Start.listina!M17</f>
        <v>69</v>
      </c>
      <c r="F34" s="351">
        <f>Start.listina!N17</f>
        <v>29.75</v>
      </c>
      <c r="G34" s="7"/>
    </row>
    <row r="35" spans="1:7">
      <c r="A35" s="351">
        <f>Start.listina!I21</f>
        <v>14052</v>
      </c>
      <c r="B35" s="401" t="str">
        <f>Start.listina!J21</f>
        <v>Škorničková</v>
      </c>
      <c r="C35" s="351" t="str">
        <f>Start.listina!K21</f>
        <v>Jaroslava</v>
      </c>
      <c r="D35" s="351" t="str">
        <f>Start.listina!L21</f>
        <v>Sokol Kostomlaty</v>
      </c>
      <c r="E35" s="351">
        <f>Start.listina!M21</f>
        <v>90</v>
      </c>
      <c r="F35" s="351">
        <f>Start.listina!N21</f>
        <v>29.626000000000001</v>
      </c>
      <c r="G35" s="7"/>
    </row>
    <row r="36" spans="1:7">
      <c r="A36" s="351">
        <f>Start.listina!O49</f>
        <v>11006</v>
      </c>
      <c r="B36" s="401" t="str">
        <f>Start.listina!P49</f>
        <v>Kulhánek</v>
      </c>
      <c r="C36" s="351" t="str">
        <f>Start.listina!Q49</f>
        <v>Milan</v>
      </c>
      <c r="D36" s="351" t="str">
        <f>Start.listina!R49</f>
        <v>SK Sahara Vědomice</v>
      </c>
      <c r="E36" s="351">
        <f>Start.listina!S49</f>
        <v>61</v>
      </c>
      <c r="F36" s="351">
        <f>Start.listina!T49</f>
        <v>29.625</v>
      </c>
      <c r="G36" s="7"/>
    </row>
    <row r="37" spans="1:7">
      <c r="A37" s="351">
        <f>Start.listina!I16</f>
        <v>14074</v>
      </c>
      <c r="B37" s="401" t="str">
        <f>Start.listina!J16</f>
        <v>Froňková</v>
      </c>
      <c r="C37" s="351" t="str">
        <f>Start.listina!K16</f>
        <v>Blanka</v>
      </c>
      <c r="D37" s="351" t="str">
        <f>Start.listina!L16</f>
        <v>PC Sokol Lipník</v>
      </c>
      <c r="E37" s="351">
        <f>Start.listina!M16</f>
        <v>126</v>
      </c>
      <c r="F37" s="351">
        <f>Start.listina!N16</f>
        <v>28.876000000000001</v>
      </c>
      <c r="G37" s="7"/>
    </row>
    <row r="38" spans="1:7">
      <c r="A38" s="351">
        <f>Start.listina!O22</f>
        <v>15010</v>
      </c>
      <c r="B38" s="401" t="str">
        <f>Start.listina!P22</f>
        <v>Chmelařová</v>
      </c>
      <c r="C38" s="351" t="str">
        <f>Start.listina!Q22</f>
        <v>Yvetta</v>
      </c>
      <c r="D38" s="351" t="str">
        <f>Start.listina!R22</f>
        <v>SKP Kulová osma</v>
      </c>
      <c r="E38" s="351">
        <f>Start.listina!S22</f>
        <v>129</v>
      </c>
      <c r="F38" s="351">
        <f>Start.listina!T22</f>
        <v>28.187999999999999</v>
      </c>
      <c r="G38" s="7"/>
    </row>
    <row r="39" spans="1:7">
      <c r="A39" s="351">
        <f>Start.listina!O33</f>
        <v>12042</v>
      </c>
      <c r="B39" s="401" t="str">
        <f>Start.listina!P33</f>
        <v>Pilát</v>
      </c>
      <c r="C39" s="351" t="str">
        <f>Start.listina!Q33</f>
        <v>Petr</v>
      </c>
      <c r="D39" s="351" t="str">
        <f>Start.listina!R33</f>
        <v>SKP Kulová osma</v>
      </c>
      <c r="E39" s="351">
        <f>Start.listina!S33</f>
        <v>124</v>
      </c>
      <c r="F39" s="351">
        <f>Start.listina!T33</f>
        <v>26.907</v>
      </c>
      <c r="G39" s="7"/>
    </row>
    <row r="40" spans="1:7">
      <c r="A40" s="351">
        <f>Start.listina!I30</f>
        <v>13027</v>
      </c>
      <c r="B40" s="401" t="str">
        <f>Start.listina!J30</f>
        <v>Dlouhá</v>
      </c>
      <c r="C40" s="351" t="str">
        <f>Start.listina!K30</f>
        <v>Ivana</v>
      </c>
      <c r="D40" s="351" t="str">
        <f>Start.listina!L30</f>
        <v>Club Rodamiento</v>
      </c>
      <c r="E40" s="351">
        <f>Start.listina!M30</f>
        <v>107</v>
      </c>
      <c r="F40" s="351">
        <f>Start.listina!N30</f>
        <v>26.157</v>
      </c>
      <c r="G40" s="7"/>
    </row>
    <row r="41" spans="1:7">
      <c r="A41" s="351">
        <f>Start.listina!O30</f>
        <v>13029</v>
      </c>
      <c r="B41" s="401" t="str">
        <f>Start.listina!P30</f>
        <v>Kamaryt</v>
      </c>
      <c r="C41" s="351" t="str">
        <f>Start.listina!Q30</f>
        <v>Josef</v>
      </c>
      <c r="D41" s="351" t="str">
        <f>Start.listina!R30</f>
        <v>Club Rodamiento</v>
      </c>
      <c r="E41" s="351">
        <f>Start.listina!S30</f>
        <v>117</v>
      </c>
      <c r="F41" s="351">
        <f>Start.listina!T30</f>
        <v>26.032</v>
      </c>
      <c r="G41" s="7"/>
    </row>
    <row r="42" spans="1:7">
      <c r="A42" s="351">
        <f>Start.listina!O35</f>
        <v>13001</v>
      </c>
      <c r="B42" s="401" t="str">
        <f>Start.listina!P35</f>
        <v>Beranová</v>
      </c>
      <c r="C42" s="351" t="str">
        <f>Start.listina!Q35</f>
        <v>Pavla</v>
      </c>
      <c r="D42" s="351" t="str">
        <f>Start.listina!R35</f>
        <v>PC Sokol Lipník</v>
      </c>
      <c r="E42" s="351">
        <f>Start.listina!S35</f>
        <v>88</v>
      </c>
      <c r="F42" s="351">
        <f>Start.listina!T35</f>
        <v>25.937999999999999</v>
      </c>
      <c r="G42" s="7"/>
    </row>
    <row r="43" spans="1:7">
      <c r="A43" s="351">
        <f>Start.listina!O34</f>
        <v>23131</v>
      </c>
      <c r="B43" s="401" t="str">
        <f>Start.listina!P34</f>
        <v>Felčárek</v>
      </c>
      <c r="C43" s="351" t="str">
        <f>Start.listina!Q34</f>
        <v>Jaroslav</v>
      </c>
      <c r="D43" s="351" t="str">
        <f>Start.listina!R34</f>
        <v>FRAPECO</v>
      </c>
      <c r="E43" s="351">
        <f>Start.listina!S34</f>
        <v>96</v>
      </c>
      <c r="F43" s="351">
        <f>Start.listina!T34</f>
        <v>24.812999999999999</v>
      </c>
      <c r="G43" s="7"/>
    </row>
    <row r="44" spans="1:7">
      <c r="A44" s="351">
        <f>Start.listina!I32</f>
        <v>12083</v>
      </c>
      <c r="B44" s="401" t="str">
        <f>Start.listina!J32</f>
        <v>Zátka</v>
      </c>
      <c r="C44" s="351" t="str">
        <f>Start.listina!K32</f>
        <v>Miloslav</v>
      </c>
      <c r="D44" s="351" t="str">
        <f>Start.listina!L32</f>
        <v>SKP Kulová osma</v>
      </c>
      <c r="E44" s="351">
        <f>Start.listina!M32</f>
        <v>136</v>
      </c>
      <c r="F44" s="351">
        <f>Start.listina!N32</f>
        <v>24.562999999999999</v>
      </c>
      <c r="G44" s="7"/>
    </row>
    <row r="45" spans="1:7">
      <c r="A45" s="351">
        <f>Start.listina!O25</f>
        <v>16010</v>
      </c>
      <c r="B45" s="401" t="str">
        <f>Start.listina!P25</f>
        <v>Šplechtová</v>
      </c>
      <c r="C45" s="351" t="str">
        <f>Start.listina!Q25</f>
        <v>Dana</v>
      </c>
      <c r="D45" s="351" t="str">
        <f>Start.listina!R25</f>
        <v>Sokol Kostomlaty</v>
      </c>
      <c r="E45" s="351">
        <f>Start.listina!S25</f>
        <v>140</v>
      </c>
      <c r="F45" s="351">
        <f>Start.listina!T25</f>
        <v>23.876000000000001</v>
      </c>
      <c r="G45" s="7"/>
    </row>
    <row r="46" spans="1:7">
      <c r="A46" s="351">
        <f>Start.listina!O32</f>
        <v>12085</v>
      </c>
      <c r="B46" s="401" t="str">
        <f>Start.listina!P32</f>
        <v>Mitkovová</v>
      </c>
      <c r="C46" s="351" t="str">
        <f>Start.listina!Q32</f>
        <v>Hana</v>
      </c>
      <c r="D46" s="351" t="str">
        <f>Start.listina!R32</f>
        <v>SKP Kulová osma</v>
      </c>
      <c r="E46" s="351">
        <f>Start.listina!S32</f>
        <v>138</v>
      </c>
      <c r="F46" s="351">
        <f>Start.listina!T32</f>
        <v>23.501000000000001</v>
      </c>
      <c r="G46" s="7"/>
    </row>
    <row r="47" spans="1:7">
      <c r="A47" s="351">
        <f>Start.listina!I46</f>
        <v>14019</v>
      </c>
      <c r="B47" s="401" t="str">
        <f>Start.listina!J46</f>
        <v>Červenková</v>
      </c>
      <c r="C47" s="351" t="str">
        <f>Start.listina!K46</f>
        <v>Andrea</v>
      </c>
      <c r="D47" s="351" t="str">
        <f>Start.listina!L46</f>
        <v>SK Sahara Vědomice</v>
      </c>
      <c r="E47" s="351">
        <f>Start.listina!M46</f>
        <v>105</v>
      </c>
      <c r="F47" s="351">
        <f>Start.listina!N46</f>
        <v>23.469000000000001</v>
      </c>
      <c r="G47" s="7"/>
    </row>
    <row r="48" spans="1:7">
      <c r="A48" s="351">
        <f>Start.listina!I23</f>
        <v>21768</v>
      </c>
      <c r="B48" s="401" t="str">
        <f>Start.listina!J23</f>
        <v>Plucar</v>
      </c>
      <c r="C48" s="351" t="str">
        <f>Start.listina!K23</f>
        <v>Petr</v>
      </c>
      <c r="D48" s="351" t="str">
        <f>Start.listina!L23</f>
        <v>PC Kolová</v>
      </c>
      <c r="E48" s="351">
        <f>Start.listina!M23</f>
        <v>111</v>
      </c>
      <c r="F48" s="351">
        <f>Start.listina!N23</f>
        <v>23.187999999999999</v>
      </c>
      <c r="G48" s="7"/>
    </row>
    <row r="49" spans="1:7">
      <c r="A49" s="351">
        <f>Start.listina!O28</f>
        <v>15093</v>
      </c>
      <c r="B49" s="401" t="str">
        <f>Start.listina!P28</f>
        <v>Novotný</v>
      </c>
      <c r="C49" s="351" t="str">
        <f>Start.listina!Q28</f>
        <v>Vladimír</v>
      </c>
      <c r="D49" s="351" t="str">
        <f>Start.listina!R28</f>
        <v>PCP Lipník</v>
      </c>
      <c r="E49" s="351">
        <f>Start.listina!S28</f>
        <v>193</v>
      </c>
      <c r="F49" s="351">
        <f>Start.listina!T28</f>
        <v>22.814</v>
      </c>
      <c r="G49" s="7"/>
    </row>
    <row r="50" spans="1:7">
      <c r="A50" s="351">
        <f>Start.listina!I36</f>
        <v>11048</v>
      </c>
      <c r="B50" s="401" t="str">
        <f>Start.listina!J36</f>
        <v>Nagy</v>
      </c>
      <c r="C50" s="351" t="str">
        <f>Start.listina!K36</f>
        <v>Radim</v>
      </c>
      <c r="D50" s="351" t="str">
        <f>Start.listina!L36</f>
        <v>CdP Loděnice</v>
      </c>
      <c r="E50" s="351">
        <f>Start.listina!M36</f>
        <v>151</v>
      </c>
      <c r="F50" s="351">
        <f>Start.listina!N36</f>
        <v>22.312999999999999</v>
      </c>
      <c r="G50" s="7"/>
    </row>
    <row r="51" spans="1:7">
      <c r="A51" s="351">
        <f>Start.listina!I38</f>
        <v>13077</v>
      </c>
      <c r="B51" s="401" t="str">
        <f>Start.listina!J38</f>
        <v>Kot</v>
      </c>
      <c r="C51" s="351" t="str">
        <f>Start.listina!K38</f>
        <v>Pavel</v>
      </c>
      <c r="D51" s="351" t="str">
        <f>Start.listina!L38</f>
        <v>UBU Únětice</v>
      </c>
      <c r="E51" s="351">
        <f>Start.listina!M38</f>
        <v>112</v>
      </c>
      <c r="F51" s="351">
        <f>Start.listina!N38</f>
        <v>21.501999999999999</v>
      </c>
      <c r="G51" s="7"/>
    </row>
    <row r="52" spans="1:7">
      <c r="A52" s="351">
        <f>Start.listina!O43</f>
        <v>10138</v>
      </c>
      <c r="B52" s="401" t="str">
        <f>Start.listina!P43</f>
        <v>Hájek</v>
      </c>
      <c r="C52" s="351" t="str">
        <f>Start.listina!Q43</f>
        <v>Martin ml.</v>
      </c>
      <c r="D52" s="351" t="str">
        <f>Start.listina!R43</f>
        <v>PEK Stolín</v>
      </c>
      <c r="E52" s="351">
        <f>Start.listina!S43</f>
        <v>173</v>
      </c>
      <c r="F52" s="351">
        <f>Start.listina!T43</f>
        <v>21.47</v>
      </c>
      <c r="G52" s="7"/>
    </row>
    <row r="53" spans="1:7">
      <c r="A53" s="351">
        <f>Start.listina!I34</f>
        <v>25011</v>
      </c>
      <c r="B53" s="401" t="str">
        <f>Start.listina!J34</f>
        <v>Jirkovský</v>
      </c>
      <c r="C53" s="351" t="str">
        <f>Start.listina!K34</f>
        <v>Tomáš</v>
      </c>
      <c r="D53" s="351" t="str">
        <f>Start.listina!L34</f>
        <v>PK Osika Plzeň</v>
      </c>
      <c r="E53" s="351">
        <f>Start.listina!M34</f>
        <v>170</v>
      </c>
      <c r="F53" s="351">
        <f>Start.listina!N34</f>
        <v>20.97</v>
      </c>
      <c r="G53" s="7"/>
    </row>
    <row r="54" spans="1:7">
      <c r="A54" s="351">
        <f>Start.listina!I37</f>
        <v>25014</v>
      </c>
      <c r="B54" s="401" t="str">
        <f>Start.listina!J37</f>
        <v>Mráz</v>
      </c>
      <c r="C54" s="351" t="str">
        <f>Start.listina!K37</f>
        <v>Václav</v>
      </c>
      <c r="D54" s="351" t="str">
        <f>Start.listina!L37</f>
        <v>PK Osika Plzeň</v>
      </c>
      <c r="E54" s="351">
        <f>Start.listina!M37</f>
        <v>100</v>
      </c>
      <c r="F54" s="351">
        <f>Start.listina!N37</f>
        <v>20.876000000000001</v>
      </c>
      <c r="G54" s="7"/>
    </row>
    <row r="55" spans="1:7">
      <c r="A55" s="351">
        <f>Start.listina!I27</f>
        <v>11050</v>
      </c>
      <c r="B55" s="401" t="str">
        <f>Start.listina!J27</f>
        <v>Gorroňo López</v>
      </c>
      <c r="C55" s="351" t="str">
        <f>Start.listina!K27</f>
        <v>Blanka</v>
      </c>
      <c r="D55" s="351" t="str">
        <f>Start.listina!L27</f>
        <v>PC Sokol Lipník</v>
      </c>
      <c r="E55" s="351">
        <f>Start.listina!M27</f>
        <v>205</v>
      </c>
      <c r="F55" s="351">
        <f>Start.listina!N27</f>
        <v>20.577999999999999</v>
      </c>
      <c r="G55" s="7"/>
    </row>
    <row r="56" spans="1:7">
      <c r="A56" s="351">
        <f>Start.listina!O36</f>
        <v>14100</v>
      </c>
      <c r="B56" s="401" t="str">
        <f>Start.listina!P36</f>
        <v>Vedralová</v>
      </c>
      <c r="C56" s="351" t="str">
        <f>Start.listina!Q36</f>
        <v>Kateřina</v>
      </c>
      <c r="D56" s="351" t="str">
        <f>Start.listina!R36</f>
        <v>CdP Loděnice</v>
      </c>
      <c r="E56" s="351">
        <f>Start.listina!S36</f>
        <v>161</v>
      </c>
      <c r="F56" s="351">
        <f>Start.listina!T36</f>
        <v>19.937999999999999</v>
      </c>
      <c r="G56" s="7"/>
    </row>
    <row r="57" spans="1:7">
      <c r="A57" s="351">
        <f>Start.listina!I33</f>
        <v>16109</v>
      </c>
      <c r="B57" s="401" t="str">
        <f>Start.listina!J33</f>
        <v>Sjögren</v>
      </c>
      <c r="C57" s="351" t="str">
        <f>Start.listina!K33</f>
        <v>Magda</v>
      </c>
      <c r="D57" s="351" t="str">
        <f>Start.listina!L33</f>
        <v>Club Rodamiento</v>
      </c>
      <c r="E57" s="351">
        <f>Start.listina!M33</f>
        <v>190</v>
      </c>
      <c r="F57" s="351">
        <f>Start.listina!N33</f>
        <v>19.751000000000001</v>
      </c>
      <c r="G57" s="7"/>
    </row>
    <row r="58" spans="1:7">
      <c r="A58" s="351">
        <f>Start.listina!O24</f>
        <v>14081</v>
      </c>
      <c r="B58" s="401" t="str">
        <f>Start.listina!P24</f>
        <v>Boubínová</v>
      </c>
      <c r="C58" s="351" t="str">
        <f>Start.listina!Q24</f>
        <v>Vendula</v>
      </c>
      <c r="D58" s="351" t="str">
        <f>Start.listina!R24</f>
        <v>Petank Club Praha</v>
      </c>
      <c r="E58" s="351">
        <f>Start.listina!S24</f>
        <v>131</v>
      </c>
      <c r="F58" s="351">
        <f>Start.listina!T24</f>
        <v>19.689</v>
      </c>
      <c r="G58" s="7"/>
    </row>
    <row r="59" spans="1:7">
      <c r="A59" s="351">
        <f>Start.listina!O56</f>
        <v>16011</v>
      </c>
      <c r="B59" s="401" t="str">
        <f>Start.listina!P56</f>
        <v>Novotný</v>
      </c>
      <c r="C59" s="351" t="str">
        <f>Start.listina!Q56</f>
        <v>Karel</v>
      </c>
      <c r="D59" s="351" t="str">
        <f>Start.listina!R56</f>
        <v>CdP Loděnice</v>
      </c>
      <c r="E59" s="351">
        <f>Start.listina!S56</f>
        <v>217</v>
      </c>
      <c r="F59" s="351">
        <f>Start.listina!T56</f>
        <v>19.282</v>
      </c>
      <c r="G59" s="7"/>
    </row>
    <row r="60" spans="1:7">
      <c r="A60" s="351">
        <f>Start.listina!O39</f>
        <v>15020</v>
      </c>
      <c r="B60" s="401" t="str">
        <f>Start.listina!P39</f>
        <v>Pavlasová</v>
      </c>
      <c r="C60" s="351" t="str">
        <f>Start.listina!Q39</f>
        <v>Nikola</v>
      </c>
      <c r="D60" s="351" t="str">
        <f>Start.listina!R39</f>
        <v>PK Sezemice</v>
      </c>
      <c r="E60" s="351">
        <f>Start.listina!S39</f>
        <v>185</v>
      </c>
      <c r="F60" s="351">
        <f>Start.listina!T39</f>
        <v>19.032</v>
      </c>
      <c r="G60" s="7"/>
    </row>
    <row r="61" spans="1:7">
      <c r="A61" s="351">
        <f>Start.listina!I29</f>
        <v>99505</v>
      </c>
      <c r="B61" s="401" t="str">
        <f>Start.listina!J29</f>
        <v>Chalupa</v>
      </c>
      <c r="C61" s="351" t="str">
        <f>Start.listina!K29</f>
        <v>Jiří</v>
      </c>
      <c r="D61" s="351" t="str">
        <f>Start.listina!L29</f>
        <v>PC Sokol Lipník</v>
      </c>
      <c r="E61" s="351">
        <f>Start.listina!M29</f>
        <v>218</v>
      </c>
      <c r="F61" s="351">
        <f>Start.listina!N29</f>
        <v>18.984000000000002</v>
      </c>
      <c r="G61" s="7"/>
    </row>
    <row r="62" spans="1:7">
      <c r="A62" s="351">
        <f>Start.listina!I35</f>
        <v>13004</v>
      </c>
      <c r="B62" s="401" t="str">
        <f>Start.listina!J35</f>
        <v>Mazúr</v>
      </c>
      <c r="C62" s="351" t="str">
        <f>Start.listina!K35</f>
        <v>Pavel</v>
      </c>
      <c r="D62" s="351" t="str">
        <f>Start.listina!L35</f>
        <v>PC Sokol Lipník</v>
      </c>
      <c r="E62" s="351">
        <f>Start.listina!M35</f>
        <v>149</v>
      </c>
      <c r="F62" s="351">
        <f>Start.listina!N35</f>
        <v>18.690000000000001</v>
      </c>
      <c r="G62" s="7"/>
    </row>
    <row r="63" spans="1:7">
      <c r="A63" s="351">
        <f>Start.listina!O37</f>
        <v>12073</v>
      </c>
      <c r="B63" s="401" t="str">
        <f>Start.listina!P37</f>
        <v>Špiclová</v>
      </c>
      <c r="C63" s="351" t="str">
        <f>Start.listina!Q37</f>
        <v>Adéla</v>
      </c>
      <c r="D63" s="351" t="str">
        <f>Start.listina!R37</f>
        <v>PK Osika Plzeň</v>
      </c>
      <c r="E63" s="351">
        <f>Start.listina!S37</f>
        <v>122</v>
      </c>
      <c r="F63" s="351">
        <f>Start.listina!T37</f>
        <v>18.579000000000001</v>
      </c>
      <c r="G63" s="7"/>
    </row>
    <row r="64" spans="1:7">
      <c r="A64" s="351">
        <f>Start.listina!I40</f>
        <v>16077</v>
      </c>
      <c r="B64" s="401" t="str">
        <f>Start.listina!J40</f>
        <v>Holoubek</v>
      </c>
      <c r="C64" s="351" t="str">
        <f>Start.listina!K40</f>
        <v>Pavel</v>
      </c>
      <c r="D64" s="351" t="str">
        <f>Start.listina!L40</f>
        <v>SK Španielka Řepy</v>
      </c>
      <c r="E64" s="351">
        <f>Start.listina!M40</f>
        <v>231</v>
      </c>
      <c r="F64" s="351">
        <f>Start.listina!N40</f>
        <v>18.564</v>
      </c>
      <c r="G64" s="7"/>
    </row>
    <row r="65" spans="1:7">
      <c r="A65" s="351">
        <f>Start.listina!O41</f>
        <v>15034</v>
      </c>
      <c r="B65" s="401" t="str">
        <f>Start.listina!P41</f>
        <v>Dušáková</v>
      </c>
      <c r="C65" s="351" t="str">
        <f>Start.listina!Q41</f>
        <v>Hedvika</v>
      </c>
      <c r="D65" s="351" t="str">
        <f>Start.listina!R41</f>
        <v>SKP Kulová osma</v>
      </c>
      <c r="E65" s="351">
        <f>Start.listina!S41</f>
        <v>175</v>
      </c>
      <c r="F65" s="351">
        <f>Start.listina!T41</f>
        <v>18.157</v>
      </c>
      <c r="G65" s="7"/>
    </row>
    <row r="66" spans="1:7">
      <c r="A66" s="351">
        <f>Start.listina!I39</f>
        <v>15059</v>
      </c>
      <c r="B66" s="401" t="str">
        <f>Start.listina!J39</f>
        <v>Gröschl</v>
      </c>
      <c r="C66" s="351" t="str">
        <f>Start.listina!K39</f>
        <v>Zdeněk</v>
      </c>
      <c r="D66" s="351" t="str">
        <f>Start.listina!L39</f>
        <v>SK Sahara Vědomice</v>
      </c>
      <c r="E66" s="351">
        <f>Start.listina!M39</f>
        <v>153</v>
      </c>
      <c r="F66" s="351">
        <f>Start.listina!N39</f>
        <v>18.032</v>
      </c>
      <c r="G66" s="7"/>
    </row>
    <row r="67" spans="1:7">
      <c r="A67" s="351">
        <f>Start.listina!I55</f>
        <v>16060</v>
      </c>
      <c r="B67" s="401" t="str">
        <f>Start.listina!J55</f>
        <v>Kremlík</v>
      </c>
      <c r="C67" s="351" t="str">
        <f>Start.listina!K55</f>
        <v>Miroslav</v>
      </c>
      <c r="D67" s="351" t="str">
        <f>Start.listina!L55</f>
        <v>Spolek Park Grébovka</v>
      </c>
      <c r="E67" s="351">
        <f>Start.listina!M55</f>
        <v>188</v>
      </c>
      <c r="F67" s="351">
        <f>Start.listina!N55</f>
        <v>17.282</v>
      </c>
      <c r="G67" s="7"/>
    </row>
    <row r="68" spans="1:7">
      <c r="A68" s="351">
        <f>Start.listina!I45</f>
        <v>12079</v>
      </c>
      <c r="B68" s="401" t="str">
        <f>Start.listina!J45</f>
        <v>Slapnička</v>
      </c>
      <c r="C68" s="351" t="str">
        <f>Start.listina!K45</f>
        <v>Václav</v>
      </c>
      <c r="D68" s="351" t="str">
        <f>Start.listina!L45</f>
        <v>SKP Kulová osma</v>
      </c>
      <c r="E68" s="351">
        <f>Start.listina!M45</f>
        <v>224</v>
      </c>
      <c r="F68" s="351">
        <f>Start.listina!N45</f>
        <v>17.251000000000001</v>
      </c>
      <c r="G68" s="7"/>
    </row>
    <row r="69" spans="1:7">
      <c r="A69" s="351">
        <f>Start.listina!I41</f>
        <v>15033</v>
      </c>
      <c r="B69" s="401" t="str">
        <f>Start.listina!J41</f>
        <v>Lhoták</v>
      </c>
      <c r="C69" s="351" t="str">
        <f>Start.listina!K41</f>
        <v>Jaroslav</v>
      </c>
      <c r="D69" s="351" t="str">
        <f>Start.listina!L41</f>
        <v>SKP Kulová osma</v>
      </c>
      <c r="E69" s="351">
        <f>Start.listina!M41</f>
        <v>194</v>
      </c>
      <c r="F69" s="351">
        <f>Start.listina!N41</f>
        <v>17.157</v>
      </c>
      <c r="G69" s="7"/>
    </row>
    <row r="70" spans="1:7">
      <c r="A70" s="351">
        <f>Start.listina!O47</f>
        <v>98465</v>
      </c>
      <c r="B70" s="401" t="str">
        <f>Start.listina!P47</f>
        <v>Hájek</v>
      </c>
      <c r="C70" s="351" t="str">
        <f>Start.listina!Q47</f>
        <v>Martin</v>
      </c>
      <c r="D70" s="351" t="str">
        <f>Start.listina!R47</f>
        <v>PEK Stolín</v>
      </c>
      <c r="E70" s="351">
        <f>Start.listina!S47</f>
        <v>176</v>
      </c>
      <c r="F70" s="351">
        <f>Start.listina!T47</f>
        <v>17.062999999999999</v>
      </c>
      <c r="G70" s="7"/>
    </row>
    <row r="71" spans="1:7">
      <c r="A71" s="351">
        <f>Start.listina!O40</f>
        <v>16086</v>
      </c>
      <c r="B71" s="401" t="str">
        <f>Start.listina!P40</f>
        <v>Ptáček</v>
      </c>
      <c r="C71" s="351" t="str">
        <f>Start.listina!Q40</f>
        <v>Miroslav</v>
      </c>
      <c r="D71" s="351" t="str">
        <f>Start.listina!R40</f>
        <v>SK Španielka Řepy</v>
      </c>
      <c r="E71" s="351">
        <f>Start.listina!S40</f>
        <v>265</v>
      </c>
      <c r="F71" s="351">
        <f>Start.listina!T40</f>
        <v>16.940000000000001</v>
      </c>
      <c r="G71" s="7"/>
    </row>
    <row r="72" spans="1:7">
      <c r="A72" s="351">
        <f>Start.listina!O38</f>
        <v>13078</v>
      </c>
      <c r="B72" s="401" t="str">
        <f>Start.listina!P38</f>
        <v>Kotová</v>
      </c>
      <c r="C72" s="351" t="str">
        <f>Start.listina!Q38</f>
        <v>Jiřina</v>
      </c>
      <c r="D72" s="351" t="str">
        <f>Start.listina!R38</f>
        <v>UBU Únětice</v>
      </c>
      <c r="E72" s="351">
        <f>Start.listina!S38</f>
        <v>135</v>
      </c>
      <c r="F72" s="351">
        <f>Start.listina!T38</f>
        <v>16.815000000000001</v>
      </c>
      <c r="G72" s="7"/>
    </row>
    <row r="73" spans="1:7">
      <c r="A73" s="351">
        <f>Start.listina!I51</f>
        <v>96216</v>
      </c>
      <c r="B73" s="401" t="str">
        <f>Start.listina!J51</f>
        <v>Leiský</v>
      </c>
      <c r="C73" s="351" t="str">
        <f>Start.listina!K51</f>
        <v>Leander</v>
      </c>
      <c r="D73" s="351" t="str">
        <f>Start.listina!L51</f>
        <v>C.T.P. Club Ořech</v>
      </c>
      <c r="E73" s="351">
        <f>Start.listina!M51</f>
        <v>208</v>
      </c>
      <c r="F73" s="351">
        <f>Start.listina!N51</f>
        <v>16.704000000000001</v>
      </c>
      <c r="G73" s="7"/>
    </row>
    <row r="74" spans="1:7">
      <c r="A74" s="351">
        <f>Start.listina!I44</f>
        <v>25075</v>
      </c>
      <c r="B74" s="401" t="str">
        <f>Start.listina!J44</f>
        <v>Špitálský</v>
      </c>
      <c r="C74" s="351" t="str">
        <f>Start.listina!K44</f>
        <v>Milan</v>
      </c>
      <c r="D74" s="351" t="str">
        <f>Start.listina!L44</f>
        <v>PK Osika Plzeň</v>
      </c>
      <c r="E74" s="351">
        <f>Start.listina!M44</f>
        <v>147</v>
      </c>
      <c r="F74" s="351">
        <f>Start.listina!N44</f>
        <v>16.594999999999999</v>
      </c>
      <c r="G74" s="7"/>
    </row>
    <row r="75" spans="1:7">
      <c r="A75" s="351">
        <f>Start.listina!O50</f>
        <v>15043</v>
      </c>
      <c r="B75" s="401" t="str">
        <f>Start.listina!P50</f>
        <v>Pflimpflová</v>
      </c>
      <c r="C75" s="351" t="str">
        <f>Start.listina!Q50</f>
        <v>Alexandra</v>
      </c>
      <c r="D75" s="351" t="str">
        <f>Start.listina!R50</f>
        <v>UBU Únětice</v>
      </c>
      <c r="E75" s="351">
        <f>Start.listina!S50</f>
        <v>164</v>
      </c>
      <c r="F75" s="351">
        <f>Start.listina!T50</f>
        <v>16.503</v>
      </c>
      <c r="G75" s="7"/>
    </row>
    <row r="76" spans="1:7">
      <c r="A76" s="351">
        <f>Start.listina!I31</f>
        <v>10159</v>
      </c>
      <c r="B76" s="401" t="str">
        <f>Start.listina!J31</f>
        <v>Vaníček</v>
      </c>
      <c r="C76" s="351" t="str">
        <f>Start.listina!K31</f>
        <v>Rudolf</v>
      </c>
      <c r="D76" s="351" t="str">
        <f>Start.listina!L31</f>
        <v>Sokol Kostomlaty</v>
      </c>
      <c r="E76" s="351">
        <f>Start.listina!M31</f>
        <v>189</v>
      </c>
      <c r="F76" s="351">
        <f>Start.listina!N31</f>
        <v>16.501999999999999</v>
      </c>
      <c r="G76" s="7"/>
    </row>
    <row r="77" spans="1:7">
      <c r="A77" s="351">
        <f>Start.listina!I58</f>
        <v>21805</v>
      </c>
      <c r="B77" s="401" t="str">
        <f>Start.listina!J58</f>
        <v>Reinbergrová</v>
      </c>
      <c r="C77" s="351" t="str">
        <f>Start.listina!K58</f>
        <v>Václava</v>
      </c>
      <c r="D77" s="351" t="str">
        <f>Start.listina!L58</f>
        <v>PCP Lipník</v>
      </c>
      <c r="E77" s="351">
        <f>Start.listina!M58</f>
        <v>199</v>
      </c>
      <c r="F77" s="351">
        <f>Start.listina!N58</f>
        <v>16.251000000000001</v>
      </c>
      <c r="G77" s="7"/>
    </row>
    <row r="78" spans="1:7">
      <c r="A78" s="351">
        <f>Start.listina!O44</f>
        <v>25015</v>
      </c>
      <c r="B78" s="401" t="str">
        <f>Start.listina!P44</f>
        <v>Mrázová</v>
      </c>
      <c r="C78" s="351" t="str">
        <f>Start.listina!Q44</f>
        <v>Eva</v>
      </c>
      <c r="D78" s="351" t="str">
        <f>Start.listina!R44</f>
        <v>PK Osika Plzeň</v>
      </c>
      <c r="E78" s="351">
        <f>Start.listina!S44</f>
        <v>158</v>
      </c>
      <c r="F78" s="351">
        <f>Start.listina!T44</f>
        <v>15.750999999999999</v>
      </c>
      <c r="G78" s="7"/>
    </row>
    <row r="79" spans="1:7">
      <c r="A79" s="351">
        <f>Start.listina!I54</f>
        <v>16058</v>
      </c>
      <c r="B79" s="401" t="str">
        <f>Start.listina!J54</f>
        <v>Nepomucký</v>
      </c>
      <c r="C79" s="351" t="str">
        <f>Start.listina!K54</f>
        <v>Jaroslav</v>
      </c>
      <c r="D79" s="351" t="str">
        <f>Start.listina!L54</f>
        <v>Spolek Park Grébovka</v>
      </c>
      <c r="E79" s="351">
        <f>Start.listina!M54</f>
        <v>206</v>
      </c>
      <c r="F79" s="351">
        <f>Start.listina!N54</f>
        <v>15.500999999999999</v>
      </c>
      <c r="G79" s="7"/>
    </row>
    <row r="80" spans="1:7">
      <c r="A80" s="351">
        <f>Start.listina!O48</f>
        <v>14068</v>
      </c>
      <c r="B80" s="401" t="str">
        <f>Start.listina!P48</f>
        <v>Müllerová</v>
      </c>
      <c r="C80" s="351" t="str">
        <f>Start.listina!Q48</f>
        <v>Marie</v>
      </c>
      <c r="D80" s="351" t="str">
        <f>Start.listina!R48</f>
        <v>Sokol Kostomlaty</v>
      </c>
      <c r="E80" s="351">
        <f>Start.listina!S48</f>
        <v>213</v>
      </c>
      <c r="F80" s="351">
        <f>Start.listina!T48</f>
        <v>15.282999999999999</v>
      </c>
      <c r="G80" s="7"/>
    </row>
    <row r="81" spans="1:7">
      <c r="A81" s="351">
        <f>Start.listina!I48</f>
        <v>14028</v>
      </c>
      <c r="B81" s="401" t="str">
        <f>Start.listina!J48</f>
        <v>Hercoková</v>
      </c>
      <c r="C81" s="351" t="str">
        <f>Start.listina!K48</f>
        <v>Milena</v>
      </c>
      <c r="D81" s="351" t="str">
        <f>Start.listina!L48</f>
        <v>Sokol Kostomlaty</v>
      </c>
      <c r="E81" s="351">
        <f>Start.listina!M48</f>
        <v>215</v>
      </c>
      <c r="F81" s="351">
        <f>Start.listina!N48</f>
        <v>15.064</v>
      </c>
      <c r="G81" s="7"/>
    </row>
    <row r="82" spans="1:7">
      <c r="A82" s="351">
        <f>Start.listina!O45</f>
        <v>12080</v>
      </c>
      <c r="B82" s="401" t="str">
        <f>Start.listina!P45</f>
        <v>Lenhartová</v>
      </c>
      <c r="C82" s="351" t="str">
        <f>Start.listina!Q45</f>
        <v>Ivana</v>
      </c>
      <c r="D82" s="351" t="str">
        <f>Start.listina!R45</f>
        <v>SKP Kulová osma</v>
      </c>
      <c r="E82" s="351">
        <f>Start.listina!S45</f>
        <v>253</v>
      </c>
      <c r="F82" s="351">
        <f>Start.listina!T45</f>
        <v>14.72</v>
      </c>
      <c r="G82" s="7"/>
    </row>
    <row r="83" spans="1:7">
      <c r="A83" s="351">
        <f>Start.listina!I64</f>
        <v>15087</v>
      </c>
      <c r="B83" s="401" t="str">
        <f>Start.listina!J64</f>
        <v>Doubrava</v>
      </c>
      <c r="C83" s="351" t="str">
        <f>Start.listina!K64</f>
        <v>Antonín</v>
      </c>
      <c r="D83" s="351" t="str">
        <f>Start.listina!L64</f>
        <v>PCP Lipník</v>
      </c>
      <c r="E83" s="351">
        <f>Start.listina!M64</f>
        <v>211</v>
      </c>
      <c r="F83" s="351">
        <f>Start.listina!N64</f>
        <v>14.471</v>
      </c>
      <c r="G83" s="7"/>
    </row>
    <row r="84" spans="1:7">
      <c r="A84" s="351">
        <f>Start.listina!I47</f>
        <v>10071</v>
      </c>
      <c r="B84" s="401" t="str">
        <f>Start.listina!J47</f>
        <v>Mallat</v>
      </c>
      <c r="C84" s="351" t="str">
        <f>Start.listina!K47</f>
        <v>Oldřich</v>
      </c>
      <c r="D84" s="351" t="str">
        <f>Start.listina!L47</f>
        <v>PEK Stolín</v>
      </c>
      <c r="E84" s="351">
        <f>Start.listina!M47</f>
        <v>183</v>
      </c>
      <c r="F84" s="351">
        <f>Start.listina!N47</f>
        <v>14.095000000000001</v>
      </c>
      <c r="G84" s="7"/>
    </row>
    <row r="85" spans="1:7">
      <c r="A85" s="351">
        <f>Start.listina!O52</f>
        <v>16072</v>
      </c>
      <c r="B85" s="401" t="str">
        <f>Start.listina!P52</f>
        <v>Gazdíková</v>
      </c>
      <c r="C85" s="351" t="str">
        <f>Start.listina!Q52</f>
        <v>Jiřina</v>
      </c>
      <c r="D85" s="351" t="str">
        <f>Start.listina!R52</f>
        <v>SK Španielka Řepy</v>
      </c>
      <c r="E85" s="351">
        <f>Start.listina!S52</f>
        <v>297</v>
      </c>
      <c r="F85" s="351">
        <f>Start.listina!T52</f>
        <v>13.564</v>
      </c>
      <c r="G85" s="7"/>
    </row>
    <row r="86" spans="1:7">
      <c r="A86" s="351">
        <f>Start.listina!O53</f>
        <v>16090</v>
      </c>
      <c r="B86" s="401" t="str">
        <f>Start.listina!P53</f>
        <v>Řezníková</v>
      </c>
      <c r="C86" s="351" t="str">
        <f>Start.listina!Q53</f>
        <v>Marie</v>
      </c>
      <c r="D86" s="351" t="str">
        <f>Start.listina!R53</f>
        <v>SK Španielka Řepy</v>
      </c>
      <c r="E86" s="351">
        <f>Start.listina!S53</f>
        <v>314</v>
      </c>
      <c r="F86" s="351">
        <f>Start.listina!T53</f>
        <v>13.111000000000001</v>
      </c>
      <c r="G86" s="7"/>
    </row>
    <row r="87" spans="1:7">
      <c r="A87" s="351">
        <f>Start.listina!I62</f>
        <v>13083</v>
      </c>
      <c r="B87" s="401" t="str">
        <f>Start.listina!J62</f>
        <v>Janoš</v>
      </c>
      <c r="C87" s="351" t="str">
        <f>Start.listina!K62</f>
        <v>Jiří</v>
      </c>
      <c r="D87" s="351" t="str">
        <f>Start.listina!L62</f>
        <v>CdP Loděnice</v>
      </c>
      <c r="E87" s="351">
        <f>Start.listina!M62</f>
        <v>266</v>
      </c>
      <c r="F87" s="351">
        <f>Start.listina!N62</f>
        <v>12.718999999999999</v>
      </c>
      <c r="G87" s="7"/>
    </row>
    <row r="88" spans="1:7">
      <c r="A88" s="351">
        <f>Start.listina!I57</f>
        <v>29052</v>
      </c>
      <c r="B88" s="401" t="str">
        <f>Start.listina!J57</f>
        <v>Paták</v>
      </c>
      <c r="C88" s="351" t="str">
        <f>Start.listina!K57</f>
        <v>Jan</v>
      </c>
      <c r="D88" s="351" t="str">
        <f>Start.listina!L57</f>
        <v>CdP Loděnice</v>
      </c>
      <c r="E88" s="351">
        <f>Start.listina!M57</f>
        <v>324</v>
      </c>
      <c r="F88" s="351">
        <f>Start.listina!N57</f>
        <v>12.593999999999999</v>
      </c>
      <c r="G88" s="7"/>
    </row>
    <row r="89" spans="1:7">
      <c r="A89" s="351">
        <f>Start.listina!I43</f>
        <v>20676</v>
      </c>
      <c r="B89" s="401" t="str">
        <f>Start.listina!J43</f>
        <v>Hájková</v>
      </c>
      <c r="C89" s="351" t="str">
        <f>Start.listina!K43</f>
        <v>Iveta</v>
      </c>
      <c r="D89" s="351" t="str">
        <f>Start.listina!L43</f>
        <v>PEK Stolín</v>
      </c>
      <c r="E89" s="351">
        <f>Start.listina!M43</f>
        <v>243</v>
      </c>
      <c r="F89" s="351">
        <f>Start.listina!N43</f>
        <v>12.439</v>
      </c>
      <c r="G89" s="7"/>
    </row>
    <row r="90" spans="1:7">
      <c r="A90" s="351">
        <f>Start.listina!I65</f>
        <v>16001</v>
      </c>
      <c r="B90" s="401" t="str">
        <f>Start.listina!J65</f>
        <v>Moucha</v>
      </c>
      <c r="C90" s="351" t="str">
        <f>Start.listina!K65</f>
        <v>Luboš</v>
      </c>
      <c r="D90" s="351" t="str">
        <f>Start.listina!L65</f>
        <v>PCP Lipník</v>
      </c>
      <c r="E90" s="351">
        <f>Start.listina!M65</f>
        <v>280</v>
      </c>
      <c r="F90" s="351">
        <f>Start.listina!N65</f>
        <v>12.345000000000001</v>
      </c>
      <c r="G90" s="7"/>
    </row>
    <row r="91" spans="1:7">
      <c r="A91" s="351">
        <f>Start.listina!I50</f>
        <v>12032</v>
      </c>
      <c r="B91" s="401" t="str">
        <f>Start.listina!J50</f>
        <v>Pinkasová</v>
      </c>
      <c r="C91" s="351" t="str">
        <f>Start.listina!K50</f>
        <v>Marie</v>
      </c>
      <c r="D91" s="351" t="str">
        <f>Start.listina!L50</f>
        <v>Club Rodamiento</v>
      </c>
      <c r="E91" s="351">
        <f>Start.listina!M50</f>
        <v>299</v>
      </c>
      <c r="F91" s="351">
        <f>Start.listina!N50</f>
        <v>12.141999999999999</v>
      </c>
      <c r="G91" s="7"/>
    </row>
    <row r="92" spans="1:7">
      <c r="A92" s="351">
        <f>Start.listina!I53</f>
        <v>16089</v>
      </c>
      <c r="B92" s="401" t="str">
        <f>Start.listina!J53</f>
        <v>Řezník</v>
      </c>
      <c r="C92" s="351" t="str">
        <f>Start.listina!K53</f>
        <v>Alois</v>
      </c>
      <c r="D92" s="351" t="str">
        <f>Start.listina!L53</f>
        <v>SK Španielka Řepy</v>
      </c>
      <c r="E92" s="351">
        <f>Start.listina!M53</f>
        <v>316</v>
      </c>
      <c r="F92" s="351">
        <f>Start.listina!N53</f>
        <v>11.798999999999999</v>
      </c>
      <c r="G92" s="7"/>
    </row>
    <row r="93" spans="1:7">
      <c r="A93" s="351">
        <f>Start.listina!I52</f>
        <v>16082</v>
      </c>
      <c r="B93" s="401" t="str">
        <f>Start.listina!J52</f>
        <v>Pastorek</v>
      </c>
      <c r="C93" s="351" t="str">
        <f>Start.listina!K52</f>
        <v>Jaroslav</v>
      </c>
      <c r="D93" s="351" t="str">
        <f>Start.listina!L52</f>
        <v>SK Španielka Řepy</v>
      </c>
      <c r="E93" s="351">
        <f>Start.listina!M52</f>
        <v>292</v>
      </c>
      <c r="F93" s="351">
        <f>Start.listina!N52</f>
        <v>11.532</v>
      </c>
      <c r="G93" s="7"/>
    </row>
    <row r="94" spans="1:7">
      <c r="A94" s="351">
        <f>Start.listina!I59</f>
        <v>24315</v>
      </c>
      <c r="B94" s="401" t="str">
        <f>Start.listina!J59</f>
        <v>Hájková</v>
      </c>
      <c r="C94" s="351" t="str">
        <f>Start.listina!K59</f>
        <v>Dorota</v>
      </c>
      <c r="D94" s="351" t="str">
        <f>Start.listina!L59</f>
        <v>PEK Stolín</v>
      </c>
      <c r="E94" s="351">
        <f>Start.listina!M59</f>
        <v>288</v>
      </c>
      <c r="F94" s="351">
        <f>Start.listina!N59</f>
        <v>11.500999999999999</v>
      </c>
      <c r="G94" s="7"/>
    </row>
    <row r="95" spans="1:7">
      <c r="A95" s="351">
        <f>Start.listina!O51</f>
        <v>16085</v>
      </c>
      <c r="B95" s="401" t="str">
        <f>Start.listina!P51</f>
        <v>Procházka</v>
      </c>
      <c r="C95" s="351" t="str">
        <f>Start.listina!Q51</f>
        <v>Josef</v>
      </c>
      <c r="D95" s="351" t="str">
        <f>Start.listina!R51</f>
        <v>SK Španielka Řepy</v>
      </c>
      <c r="E95" s="351">
        <f>Start.listina!S51</f>
        <v>337</v>
      </c>
      <c r="F95" s="351">
        <f>Start.listina!T51</f>
        <v>10.603999999999999</v>
      </c>
      <c r="G95" s="7"/>
    </row>
    <row r="96" spans="1:7">
      <c r="A96" s="351">
        <f>Start.listina!O26</f>
        <v>26010</v>
      </c>
      <c r="B96" s="401" t="str">
        <f>Start.listina!P26</f>
        <v>Řezníček</v>
      </c>
      <c r="C96" s="351" t="str">
        <f>Start.listina!Q26</f>
        <v>Jiří</v>
      </c>
      <c r="D96" s="351" t="str">
        <f>Start.listina!R26</f>
        <v>1. KPK Vrchlabí</v>
      </c>
      <c r="E96" s="351">
        <f>Start.listina!S26</f>
        <v>376</v>
      </c>
      <c r="F96" s="351">
        <f>Start.listina!T26</f>
        <v>10.438000000000001</v>
      </c>
      <c r="G96" s="7"/>
    </row>
    <row r="97" spans="1:7">
      <c r="A97" s="351">
        <f>Start.listina!I60</f>
        <v>96162</v>
      </c>
      <c r="B97" s="401" t="str">
        <f>Start.listina!J60</f>
        <v>Glaser</v>
      </c>
      <c r="C97" s="351" t="str">
        <f>Start.listina!K60</f>
        <v>Vladimír</v>
      </c>
      <c r="D97" s="351" t="str">
        <f>Start.listina!L60</f>
        <v>C.T.P. Club Ořech</v>
      </c>
      <c r="E97" s="351">
        <f>Start.listina!M60</f>
        <v>397</v>
      </c>
      <c r="F97" s="351">
        <f>Start.listina!N60</f>
        <v>10.109</v>
      </c>
      <c r="G97" s="7"/>
    </row>
    <row r="98" spans="1:7">
      <c r="A98" s="351">
        <f>Start.listina!O59</f>
        <v>14057</v>
      </c>
      <c r="B98" s="401" t="str">
        <f>Start.listina!P59</f>
        <v>Jablonský</v>
      </c>
      <c r="C98" s="351" t="str">
        <f>Start.listina!Q59</f>
        <v>Lukáš</v>
      </c>
      <c r="D98" s="351" t="str">
        <f>Start.listina!R59</f>
        <v>PEK Stolín</v>
      </c>
      <c r="E98" s="351">
        <f>Start.listina!S59</f>
        <v>298</v>
      </c>
      <c r="F98" s="351">
        <f>Start.listina!T59</f>
        <v>9.0009999999999994</v>
      </c>
      <c r="G98" s="7"/>
    </row>
    <row r="99" spans="1:7">
      <c r="A99" s="351">
        <f>Start.listina!O61</f>
        <v>15031</v>
      </c>
      <c r="B99" s="401" t="str">
        <f>Start.listina!P61</f>
        <v>Fárová</v>
      </c>
      <c r="C99" s="351" t="str">
        <f>Start.listina!Q61</f>
        <v>Helena</v>
      </c>
      <c r="D99" s="351" t="str">
        <f>Start.listina!R61</f>
        <v>SKP Kulová osma</v>
      </c>
      <c r="E99" s="351">
        <f>Start.listina!S61</f>
        <v>310</v>
      </c>
      <c r="F99" s="351">
        <f>Start.listina!T61</f>
        <v>8.9619999999999997</v>
      </c>
      <c r="G99" s="7"/>
    </row>
    <row r="100" spans="1:7">
      <c r="A100" s="351">
        <f>Start.listina!O63</f>
        <v>97291</v>
      </c>
      <c r="B100" s="401" t="str">
        <f>Start.listina!P63</f>
        <v>Končel</v>
      </c>
      <c r="C100" s="351" t="str">
        <f>Start.listina!Q63</f>
        <v>Petr</v>
      </c>
      <c r="D100" s="351" t="str">
        <f>Start.listina!R63</f>
        <v>CP VARY</v>
      </c>
      <c r="E100" s="351">
        <f>Start.listina!S63</f>
        <v>302</v>
      </c>
      <c r="F100" s="351">
        <f>Start.listina!T63</f>
        <v>8.8279999999999994</v>
      </c>
      <c r="G100" s="7"/>
    </row>
    <row r="101" spans="1:7">
      <c r="A101" s="351">
        <f>Start.listina!O57</f>
        <v>29060</v>
      </c>
      <c r="B101" s="401" t="str">
        <f>Start.listina!P57</f>
        <v>Fatka</v>
      </c>
      <c r="C101" s="351" t="str">
        <f>Start.listina!Q57</f>
        <v>Stanislav ml.</v>
      </c>
      <c r="D101" s="351" t="str">
        <f>Start.listina!R57</f>
        <v>CdP Loděnice</v>
      </c>
      <c r="E101" s="351">
        <f>Start.listina!S57</f>
        <v>349</v>
      </c>
      <c r="F101" s="351">
        <f>Start.listina!T57</f>
        <v>8.6880000000000006</v>
      </c>
      <c r="G101" s="7"/>
    </row>
    <row r="102" spans="1:7">
      <c r="A102" s="351">
        <f>Start.listina!O60</f>
        <v>96163</v>
      </c>
      <c r="B102" s="401" t="str">
        <f>Start.listina!P60</f>
        <v>Glaserová</v>
      </c>
      <c r="C102" s="351" t="str">
        <f>Start.listina!Q60</f>
        <v>Dana</v>
      </c>
      <c r="D102" s="351" t="str">
        <f>Start.listina!R60</f>
        <v>C.T.P. Club Ořech</v>
      </c>
      <c r="E102" s="351">
        <f>Start.listina!S60</f>
        <v>422</v>
      </c>
      <c r="F102" s="351">
        <f>Start.listina!T60</f>
        <v>8.609</v>
      </c>
      <c r="G102" s="7"/>
    </row>
    <row r="103" spans="1:7">
      <c r="A103" s="351">
        <f>Start.listina!O46</f>
        <v>17001</v>
      </c>
      <c r="B103" s="401" t="str">
        <f>Start.listina!P46</f>
        <v>Přikryl</v>
      </c>
      <c r="C103" s="351" t="str">
        <f>Start.listina!Q46</f>
        <v>Karel</v>
      </c>
      <c r="D103" s="351" t="str">
        <f>Start.listina!R46</f>
        <v>SK Sahara Vědomice</v>
      </c>
      <c r="E103" s="351">
        <f>Start.listina!S46</f>
        <v>326</v>
      </c>
      <c r="F103" s="351">
        <f>Start.listina!T46</f>
        <v>8.4380000000000006</v>
      </c>
      <c r="G103" s="7"/>
    </row>
    <row r="104" spans="1:7">
      <c r="A104" s="351">
        <f>Start.listina!O54</f>
        <v>16065</v>
      </c>
      <c r="B104" s="401" t="str">
        <f>Start.listina!P54</f>
        <v>Hykl</v>
      </c>
      <c r="C104" s="351" t="str">
        <f>Start.listina!Q54</f>
        <v>Ondřej</v>
      </c>
      <c r="D104" s="351" t="str">
        <f>Start.listina!R54</f>
        <v>Spolek Park Grébovka</v>
      </c>
      <c r="E104" s="351">
        <f>Start.listina!S54</f>
        <v>418</v>
      </c>
      <c r="F104" s="351">
        <f>Start.listina!T54</f>
        <v>8.0860000000000003</v>
      </c>
      <c r="G104" s="7"/>
    </row>
    <row r="105" spans="1:7">
      <c r="A105" s="351">
        <f>Start.listina!I61</f>
        <v>15032</v>
      </c>
      <c r="B105" s="401" t="str">
        <f>Start.listina!J61</f>
        <v>Fára</v>
      </c>
      <c r="C105" s="351" t="str">
        <f>Start.listina!K61</f>
        <v>Jindřich</v>
      </c>
      <c r="D105" s="351" t="str">
        <f>Start.listina!L61</f>
        <v>SKP Kulová osma</v>
      </c>
      <c r="E105" s="351">
        <f>Start.listina!M61</f>
        <v>360</v>
      </c>
      <c r="F105" s="351">
        <f>Start.listina!N61</f>
        <v>7.556</v>
      </c>
      <c r="G105" s="7"/>
    </row>
    <row r="106" spans="1:7">
      <c r="A106" s="351">
        <f>Start.listina!I68</f>
        <v>12036</v>
      </c>
      <c r="B106" s="401" t="str">
        <f>Start.listina!J68</f>
        <v>Pavýza</v>
      </c>
      <c r="C106" s="351" t="str">
        <f>Start.listina!K68</f>
        <v>Milan</v>
      </c>
      <c r="D106" s="351" t="str">
        <f>Start.listina!L68</f>
        <v>SKP Kulová osma</v>
      </c>
      <c r="E106" s="351">
        <f>Start.listina!M68</f>
        <v>348</v>
      </c>
      <c r="F106" s="351">
        <f>Start.listina!N68</f>
        <v>7.4470000000000001</v>
      </c>
      <c r="G106" s="7"/>
    </row>
    <row r="107" spans="1:7">
      <c r="A107" s="351">
        <f>Start.listina!I66</f>
        <v>16095</v>
      </c>
      <c r="B107" s="401" t="str">
        <f>Start.listina!J66</f>
        <v>Szitányiová</v>
      </c>
      <c r="C107" s="351" t="str">
        <f>Start.listina!K66</f>
        <v>Mária</v>
      </c>
      <c r="D107" s="351" t="str">
        <f>Start.listina!L66</f>
        <v>SK Španielka Řepy</v>
      </c>
      <c r="E107" s="351">
        <f>Start.listina!M66</f>
        <v>381</v>
      </c>
      <c r="F107" s="351">
        <f>Start.listina!N66</f>
        <v>7.2050000000000001</v>
      </c>
      <c r="G107" s="7"/>
    </row>
    <row r="108" spans="1:7">
      <c r="A108" s="351">
        <f>Start.listina!I63</f>
        <v>97294</v>
      </c>
      <c r="B108" s="401" t="str">
        <f>Start.listina!J63</f>
        <v>Šimek</v>
      </c>
      <c r="C108" s="351" t="str">
        <f>Start.listina!K63</f>
        <v>Petr</v>
      </c>
      <c r="D108" s="351" t="str">
        <f>Start.listina!L63</f>
        <v>CP VARY</v>
      </c>
      <c r="E108" s="351">
        <f>Start.listina!M63</f>
        <v>407</v>
      </c>
      <c r="F108" s="351">
        <f>Start.listina!N63</f>
        <v>6.0780000000000003</v>
      </c>
      <c r="G108" s="7"/>
    </row>
    <row r="109" spans="1:7">
      <c r="A109" s="351">
        <f>Start.listina!O55</f>
        <v>16064</v>
      </c>
      <c r="B109" s="401" t="str">
        <f>Start.listina!P55</f>
        <v>Hykl</v>
      </c>
      <c r="C109" s="351" t="str">
        <f>Start.listina!Q55</f>
        <v>Luboš</v>
      </c>
      <c r="D109" s="351" t="str">
        <f>Start.listina!R55</f>
        <v>Spolek Park Grébovka</v>
      </c>
      <c r="E109" s="351">
        <f>Start.listina!S55</f>
        <v>403</v>
      </c>
      <c r="F109" s="351">
        <f>Start.listina!T55</f>
        <v>6.0309999999999997</v>
      </c>
      <c r="G109" s="7"/>
    </row>
    <row r="110" spans="1:7">
      <c r="A110" s="351">
        <f>Start.listina!O67</f>
        <v>16052</v>
      </c>
      <c r="B110" s="401" t="str">
        <f>Start.listina!P67</f>
        <v>Krejčířová</v>
      </c>
      <c r="C110" s="351" t="str">
        <f>Start.listina!Q67</f>
        <v>Magda</v>
      </c>
      <c r="D110" s="351" t="str">
        <f>Start.listina!R67</f>
        <v>Orel Řečkovice</v>
      </c>
      <c r="E110" s="351">
        <f>Start.listina!S67</f>
        <v>386</v>
      </c>
      <c r="F110" s="351">
        <f>Start.listina!T67</f>
        <v>5.032</v>
      </c>
      <c r="G110" s="7"/>
    </row>
    <row r="111" spans="1:7">
      <c r="A111" s="351">
        <f>Start.listina!O58</f>
        <v>16121</v>
      </c>
      <c r="B111" s="401" t="str">
        <f>Start.listina!P58</f>
        <v>Pražáková</v>
      </c>
      <c r="C111" s="351" t="str">
        <f>Start.listina!Q58</f>
        <v>Alena</v>
      </c>
      <c r="D111" s="351" t="str">
        <f>Start.listina!R58</f>
        <v>PCP Lipník</v>
      </c>
      <c r="E111" s="351">
        <f>Start.listina!S58</f>
        <v>473</v>
      </c>
      <c r="F111" s="351">
        <f>Start.listina!T58</f>
        <v>4.8760000000000003</v>
      </c>
      <c r="G111" s="7"/>
    </row>
    <row r="112" spans="1:7">
      <c r="A112" s="351">
        <f>Start.listina!I67</f>
        <v>14097</v>
      </c>
      <c r="B112" s="401" t="str">
        <f>Start.listina!J67</f>
        <v>Leistnerová</v>
      </c>
      <c r="C112" s="351" t="str">
        <f>Start.listina!K67</f>
        <v>Lucie</v>
      </c>
      <c r="D112" s="351" t="str">
        <f>Start.listina!L67</f>
        <v>Orel Řečkovice</v>
      </c>
      <c r="E112" s="351">
        <f>Start.listina!M67</f>
        <v>400</v>
      </c>
      <c r="F112" s="351">
        <f>Start.listina!N67</f>
        <v>4.8369999999999997</v>
      </c>
      <c r="G112" s="7"/>
    </row>
    <row r="113" spans="1:7">
      <c r="A113" s="351">
        <f>Start.listina!I69</f>
        <v>97290</v>
      </c>
      <c r="B113" s="401" t="str">
        <f>Start.listina!J69</f>
        <v>Fürst</v>
      </c>
      <c r="C113" s="351" t="str">
        <f>Start.listina!K69</f>
        <v>Jiří</v>
      </c>
      <c r="D113" s="351" t="str">
        <f>Start.listina!L69</f>
        <v>CP VARY</v>
      </c>
      <c r="E113" s="351">
        <f>Start.listina!M69</f>
        <v>508</v>
      </c>
      <c r="F113" s="351">
        <f>Start.listina!N69</f>
        <v>4.75</v>
      </c>
      <c r="G113" s="7"/>
    </row>
    <row r="114" spans="1:7">
      <c r="A114" s="351">
        <f>Start.listina!O66</f>
        <v>16079</v>
      </c>
      <c r="B114" s="401" t="str">
        <f>Start.listina!P66</f>
        <v>Kolaříková</v>
      </c>
      <c r="C114" s="351" t="str">
        <f>Start.listina!Q66</f>
        <v>Josefína</v>
      </c>
      <c r="D114" s="351" t="str">
        <f>Start.listina!R66</f>
        <v>SK Španielka Řepy</v>
      </c>
      <c r="E114" s="351">
        <f>Start.listina!S66</f>
        <v>471</v>
      </c>
      <c r="F114" s="351">
        <f>Start.listina!T66</f>
        <v>4.0170000000000003</v>
      </c>
      <c r="G114" s="7"/>
    </row>
    <row r="115" spans="1:7">
      <c r="A115" s="351">
        <f>Start.listina!I56</f>
        <v>16148</v>
      </c>
      <c r="B115" s="401" t="str">
        <f>Start.listina!J56</f>
        <v>Zderadička</v>
      </c>
      <c r="C115" s="351" t="str">
        <f>Start.listina!K56</f>
        <v>Jiří</v>
      </c>
      <c r="D115" s="351" t="str">
        <f>Start.listina!L56</f>
        <v>CdP Loděnice</v>
      </c>
      <c r="E115" s="351">
        <f>Start.listina!M56</f>
        <v>455</v>
      </c>
      <c r="F115" s="351">
        <f>Start.listina!N56</f>
        <v>3.6259999999999999</v>
      </c>
      <c r="G115" s="7"/>
    </row>
    <row r="116" spans="1:7">
      <c r="A116" s="351">
        <f>Start.listina!O62</f>
        <v>29053</v>
      </c>
      <c r="B116" s="401" t="str">
        <f>Start.listina!P62</f>
        <v>Hytych</v>
      </c>
      <c r="C116" s="351" t="str">
        <f>Start.listina!Q62</f>
        <v>Petr</v>
      </c>
      <c r="D116" s="351" t="str">
        <f>Start.listina!R62</f>
        <v>CdP Loděnice</v>
      </c>
      <c r="E116" s="351">
        <f>Start.listina!S62</f>
        <v>514</v>
      </c>
      <c r="F116" s="351">
        <f>Start.listina!T62</f>
        <v>3.5630000000000002</v>
      </c>
      <c r="G116" s="7"/>
    </row>
    <row r="117" spans="1:7">
      <c r="A117" s="351">
        <f>Start.listina!I70</f>
        <v>25016</v>
      </c>
      <c r="B117" s="401" t="str">
        <f>Start.listina!J70</f>
        <v>Přibyl</v>
      </c>
      <c r="C117" s="351" t="str">
        <f>Start.listina!K70</f>
        <v>Miroslav</v>
      </c>
      <c r="D117" s="351" t="str">
        <f>Start.listina!L70</f>
        <v>PK Osika Plzeň</v>
      </c>
      <c r="E117" s="351">
        <f>Start.listina!M70</f>
        <v>501</v>
      </c>
      <c r="F117" s="351">
        <f>Start.listina!N70</f>
        <v>2.0150000000000001</v>
      </c>
      <c r="G117" s="7"/>
    </row>
    <row r="118" spans="1:7">
      <c r="A118" s="351">
        <f>Start.listina!O71</f>
        <v>16041</v>
      </c>
      <c r="B118" s="401" t="str">
        <f>Start.listina!P71</f>
        <v>Krčková</v>
      </c>
      <c r="C118" s="351" t="str">
        <f>Start.listina!Q71</f>
        <v>Jiřina</v>
      </c>
      <c r="D118" s="351" t="str">
        <f>Start.listina!R71</f>
        <v>SENIOR TÝM Praha 1</v>
      </c>
      <c r="E118" s="351">
        <f>Start.listina!S71</f>
        <v>584</v>
      </c>
      <c r="F118" s="351">
        <f>Start.listina!T71</f>
        <v>1.6879999999999999</v>
      </c>
      <c r="G118" s="7"/>
    </row>
    <row r="119" spans="1:7">
      <c r="A119" s="351">
        <f>Start.listina!O68</f>
        <v>17051</v>
      </c>
      <c r="B119" s="401" t="str">
        <f>Start.listina!P68</f>
        <v>Jiřík</v>
      </c>
      <c r="C119" s="351" t="str">
        <f>Start.listina!Q68</f>
        <v>Václav</v>
      </c>
      <c r="D119" s="351" t="str">
        <f>Start.listina!R68</f>
        <v>SKP Kulová osma</v>
      </c>
      <c r="E119" s="351">
        <f>Start.listina!S68</f>
        <v>621</v>
      </c>
      <c r="F119" s="351">
        <f>Start.listina!T68</f>
        <v>1.5009999999999999</v>
      </c>
      <c r="G119" s="7"/>
    </row>
    <row r="120" spans="1:7">
      <c r="A120" s="351">
        <f>Start.listina!O70</f>
        <v>29021</v>
      </c>
      <c r="B120" s="401" t="str">
        <f>Start.listina!P70</f>
        <v>Přibylová</v>
      </c>
      <c r="C120" s="351" t="str">
        <f>Start.listina!Q70</f>
        <v>Eva</v>
      </c>
      <c r="D120" s="351" t="str">
        <f>Start.listina!R70</f>
        <v>PK Osika Plzeň</v>
      </c>
      <c r="E120" s="351">
        <f>Start.listina!S70</f>
        <v>635</v>
      </c>
      <c r="F120" s="351">
        <f>Start.listina!T70</f>
        <v>0.98399999999999999</v>
      </c>
      <c r="G120" s="7"/>
    </row>
    <row r="121" spans="1:7">
      <c r="A121" s="351">
        <f>Start.listina!I72</f>
        <v>12060</v>
      </c>
      <c r="B121" s="401" t="str">
        <f>Start.listina!J72</f>
        <v>Pospíšilová</v>
      </c>
      <c r="C121" s="351" t="str">
        <f>Start.listina!K72</f>
        <v>Šárka</v>
      </c>
      <c r="D121" s="351" t="str">
        <f>Start.listina!L72</f>
        <v>CdP Loděnice</v>
      </c>
      <c r="E121" s="351">
        <f>Start.listina!M72</f>
        <v>648</v>
      </c>
      <c r="F121" s="351">
        <f>Start.listina!N72</f>
        <v>0.81299999999999994</v>
      </c>
      <c r="G121" s="7"/>
    </row>
    <row r="122" spans="1:7">
      <c r="A122" s="351">
        <f>Start.listina!I71</f>
        <v>16084</v>
      </c>
      <c r="B122" s="401" t="str">
        <f>Start.listina!J71</f>
        <v>Prajer</v>
      </c>
      <c r="C122" s="351" t="str">
        <f>Start.listina!K71</f>
        <v>Milan</v>
      </c>
      <c r="D122" s="351" t="str">
        <f>Start.listina!L71</f>
        <v>SK Španielka Řepy</v>
      </c>
      <c r="E122" s="351">
        <f>Start.listina!M71</f>
        <v>652</v>
      </c>
      <c r="F122" s="351">
        <f>Start.listina!N71</f>
        <v>0.68700000000000006</v>
      </c>
      <c r="G122" s="7"/>
    </row>
    <row r="123" spans="1:7">
      <c r="A123" s="351">
        <f>Start.listina!I73</f>
        <v>16081</v>
      </c>
      <c r="B123" s="401" t="str">
        <f>Start.listina!J73</f>
        <v>Novotná</v>
      </c>
      <c r="C123" s="351" t="str">
        <f>Start.listina!K73</f>
        <v>Marie</v>
      </c>
      <c r="D123" s="351" t="str">
        <f>Start.listina!L73</f>
        <v>SK Španielka Řepy</v>
      </c>
      <c r="E123" s="351">
        <f>Start.listina!M73</f>
        <v>689</v>
      </c>
      <c r="F123" s="351">
        <f>Start.listina!N73</f>
        <v>0.28100000000000003</v>
      </c>
      <c r="G123" s="7"/>
    </row>
    <row r="124" spans="1:7">
      <c r="A124" s="351">
        <f>Start.listina!I49</f>
        <v>25002</v>
      </c>
      <c r="B124" s="401" t="str">
        <f>Start.listina!J49</f>
        <v>Hocková</v>
      </c>
      <c r="C124" s="351" t="str">
        <f>Start.listina!K49</f>
        <v>Kateřina</v>
      </c>
      <c r="D124" s="351" t="str">
        <f>Start.listina!L49</f>
        <v>SK Sahara Vědomice</v>
      </c>
      <c r="E124" s="351">
        <f>Start.listina!M49</f>
        <v>746</v>
      </c>
      <c r="F124" s="351">
        <f>Start.listina!N49</f>
        <v>0</v>
      </c>
      <c r="G124" s="7"/>
    </row>
    <row r="125" spans="1:7">
      <c r="A125" s="351" t="str">
        <f>Start.listina!I74</f>
        <v/>
      </c>
      <c r="B125" s="401" t="str">
        <f>Start.listina!J74</f>
        <v xml:space="preserve"> </v>
      </c>
      <c r="C125" s="351" t="str">
        <f>Start.listina!K74</f>
        <v xml:space="preserve"> </v>
      </c>
      <c r="D125" s="351" t="str">
        <f>Start.listina!L74</f>
        <v xml:space="preserve"> </v>
      </c>
      <c r="E125" s="351">
        <f>Start.listina!M74</f>
        <v>9999</v>
      </c>
      <c r="F125" s="351">
        <f>Start.listina!N74</f>
        <v>0</v>
      </c>
      <c r="G125" s="7"/>
    </row>
    <row r="126" spans="1:7">
      <c r="A126" s="351" t="str">
        <f>Start.listina!I75</f>
        <v/>
      </c>
      <c r="B126" s="401" t="str">
        <f>Start.listina!J75</f>
        <v xml:space="preserve"> </v>
      </c>
      <c r="C126" s="351" t="str">
        <f>Start.listina!K75</f>
        <v xml:space="preserve"> </v>
      </c>
      <c r="D126" s="351" t="str">
        <f>Start.listina!L75</f>
        <v xml:space="preserve"> </v>
      </c>
      <c r="E126" s="351">
        <f>Start.listina!M75</f>
        <v>9999</v>
      </c>
      <c r="F126" s="351">
        <f>Start.listina!N75</f>
        <v>0</v>
      </c>
      <c r="G126" s="7"/>
    </row>
    <row r="127" spans="1:7">
      <c r="A127" s="351" t="str">
        <f>Start.listina!I76</f>
        <v/>
      </c>
      <c r="B127" s="401" t="str">
        <f>Start.listina!J76</f>
        <v xml:space="preserve"> </v>
      </c>
      <c r="C127" s="351" t="str">
        <f>Start.listina!K76</f>
        <v xml:space="preserve"> </v>
      </c>
      <c r="D127" s="351" t="str">
        <f>Start.listina!L76</f>
        <v xml:space="preserve"> </v>
      </c>
      <c r="E127" s="351">
        <f>Start.listina!M76</f>
        <v>9999</v>
      </c>
      <c r="F127" s="351">
        <f>Start.listina!N76</f>
        <v>0</v>
      </c>
      <c r="G127" s="7"/>
    </row>
    <row r="128" spans="1:7">
      <c r="A128" s="351" t="str">
        <f>Start.listina!I77</f>
        <v/>
      </c>
      <c r="B128" s="401" t="str">
        <f>Start.listina!J77</f>
        <v xml:space="preserve"> </v>
      </c>
      <c r="C128" s="351" t="str">
        <f>Start.listina!K77</f>
        <v xml:space="preserve"> </v>
      </c>
      <c r="D128" s="351" t="str">
        <f>Start.listina!L77</f>
        <v xml:space="preserve"> </v>
      </c>
      <c r="E128" s="351">
        <f>Start.listina!M77</f>
        <v>9999</v>
      </c>
      <c r="F128" s="351">
        <f>Start.listina!N77</f>
        <v>0</v>
      </c>
      <c r="G128" s="7"/>
    </row>
    <row r="129" spans="1:7">
      <c r="A129" s="351" t="str">
        <f>Start.listina!I78</f>
        <v/>
      </c>
      <c r="B129" s="401" t="str">
        <f>Start.listina!J78</f>
        <v xml:space="preserve"> </v>
      </c>
      <c r="C129" s="351" t="str">
        <f>Start.listina!K78</f>
        <v xml:space="preserve"> </v>
      </c>
      <c r="D129" s="351" t="str">
        <f>Start.listina!L78</f>
        <v xml:space="preserve"> </v>
      </c>
      <c r="E129" s="351">
        <f>Start.listina!M78</f>
        <v>9999</v>
      </c>
      <c r="F129" s="351">
        <f>Start.listina!N78</f>
        <v>0</v>
      </c>
      <c r="G129" s="7"/>
    </row>
    <row r="130" spans="1:7">
      <c r="A130" s="351" t="str">
        <f>Start.listina!I79</f>
        <v/>
      </c>
      <c r="B130" s="401" t="str">
        <f>Start.listina!J79</f>
        <v xml:space="preserve"> </v>
      </c>
      <c r="C130" s="351" t="str">
        <f>Start.listina!K79</f>
        <v xml:space="preserve"> </v>
      </c>
      <c r="D130" s="351" t="str">
        <f>Start.listina!L79</f>
        <v xml:space="preserve"> </v>
      </c>
      <c r="E130" s="351">
        <f>Start.listina!M79</f>
        <v>9999</v>
      </c>
      <c r="F130" s="351">
        <f>Start.listina!N79</f>
        <v>0</v>
      </c>
      <c r="G130" s="7"/>
    </row>
    <row r="131" spans="1:7">
      <c r="A131" s="351" t="str">
        <f>Start.listina!I80</f>
        <v/>
      </c>
      <c r="B131" s="401" t="str">
        <f>Start.listina!J80</f>
        <v xml:space="preserve"> </v>
      </c>
      <c r="C131" s="351" t="str">
        <f>Start.listina!K80</f>
        <v xml:space="preserve"> </v>
      </c>
      <c r="D131" s="351" t="str">
        <f>Start.listina!L80</f>
        <v xml:space="preserve"> </v>
      </c>
      <c r="E131" s="351">
        <f>Start.listina!M80</f>
        <v>9999</v>
      </c>
      <c r="F131" s="351">
        <f>Start.listina!N80</f>
        <v>0</v>
      </c>
      <c r="G131" s="7"/>
    </row>
    <row r="132" spans="1:7">
      <c r="A132" s="351" t="str">
        <f>Start.listina!I81</f>
        <v/>
      </c>
      <c r="B132" s="401" t="str">
        <f>Start.listina!J81</f>
        <v xml:space="preserve"> </v>
      </c>
      <c r="C132" s="351" t="str">
        <f>Start.listina!K81</f>
        <v xml:space="preserve"> </v>
      </c>
      <c r="D132" s="351" t="str">
        <f>Start.listina!L81</f>
        <v xml:space="preserve"> </v>
      </c>
      <c r="E132" s="351">
        <f>Start.listina!M81</f>
        <v>9999</v>
      </c>
      <c r="F132" s="351">
        <f>Start.listina!N81</f>
        <v>0</v>
      </c>
      <c r="G132" s="7"/>
    </row>
    <row r="133" spans="1:7">
      <c r="A133" s="351" t="str">
        <f>Start.listina!I82</f>
        <v/>
      </c>
      <c r="B133" s="401" t="str">
        <f>Start.listina!J82</f>
        <v xml:space="preserve"> </v>
      </c>
      <c r="C133" s="351" t="str">
        <f>Start.listina!K82</f>
        <v xml:space="preserve"> </v>
      </c>
      <c r="D133" s="351" t="str">
        <f>Start.listina!L82</f>
        <v xml:space="preserve"> </v>
      </c>
      <c r="E133" s="351">
        <f>Start.listina!M82</f>
        <v>9999</v>
      </c>
      <c r="F133" s="351">
        <f>Start.listina!N82</f>
        <v>0</v>
      </c>
      <c r="G133" s="7"/>
    </row>
    <row r="134" spans="1:7">
      <c r="A134" s="351" t="str">
        <f>Start.listina!I83</f>
        <v/>
      </c>
      <c r="B134" s="401" t="str">
        <f>Start.listina!J83</f>
        <v xml:space="preserve"> </v>
      </c>
      <c r="C134" s="351" t="str">
        <f>Start.listina!K83</f>
        <v xml:space="preserve"> </v>
      </c>
      <c r="D134" s="351" t="str">
        <f>Start.listina!L83</f>
        <v xml:space="preserve"> </v>
      </c>
      <c r="E134" s="351">
        <f>Start.listina!M83</f>
        <v>9999</v>
      </c>
      <c r="F134" s="351">
        <f>Start.listina!N83</f>
        <v>0</v>
      </c>
      <c r="G134" s="7"/>
    </row>
    <row r="135" spans="1:7">
      <c r="A135" s="351" t="str">
        <f>Start.listina!I84</f>
        <v/>
      </c>
      <c r="B135" s="401" t="str">
        <f>Start.listina!J84</f>
        <v xml:space="preserve"> </v>
      </c>
      <c r="C135" s="351" t="str">
        <f>Start.listina!K84</f>
        <v xml:space="preserve"> </v>
      </c>
      <c r="D135" s="351" t="str">
        <f>Start.listina!L84</f>
        <v xml:space="preserve"> </v>
      </c>
      <c r="E135" s="351">
        <f>Start.listina!M84</f>
        <v>9999</v>
      </c>
      <c r="F135" s="351">
        <f>Start.listina!N84</f>
        <v>0</v>
      </c>
      <c r="G135" s="7"/>
    </row>
    <row r="136" spans="1:7">
      <c r="A136" s="351" t="str">
        <f>Start.listina!I85</f>
        <v/>
      </c>
      <c r="B136" s="401" t="str">
        <f>Start.listina!J85</f>
        <v xml:space="preserve"> </v>
      </c>
      <c r="C136" s="351" t="str">
        <f>Start.listina!K85</f>
        <v xml:space="preserve"> </v>
      </c>
      <c r="D136" s="351" t="str">
        <f>Start.listina!L85</f>
        <v xml:space="preserve"> </v>
      </c>
      <c r="E136" s="351">
        <f>Start.listina!M85</f>
        <v>9999</v>
      </c>
      <c r="F136" s="351">
        <f>Start.listina!N85</f>
        <v>0</v>
      </c>
      <c r="G136" s="7"/>
    </row>
    <row r="137" spans="1:7">
      <c r="A137" s="351" t="str">
        <f>Start.listina!I86</f>
        <v/>
      </c>
      <c r="B137" s="401" t="str">
        <f>Start.listina!J86</f>
        <v xml:space="preserve"> </v>
      </c>
      <c r="C137" s="351" t="str">
        <f>Start.listina!K86</f>
        <v xml:space="preserve"> </v>
      </c>
      <c r="D137" s="351" t="str">
        <f>Start.listina!L86</f>
        <v xml:space="preserve"> </v>
      </c>
      <c r="E137" s="351">
        <f>Start.listina!M86</f>
        <v>9999</v>
      </c>
      <c r="F137" s="351">
        <f>Start.listina!N86</f>
        <v>0</v>
      </c>
      <c r="G137" s="7"/>
    </row>
    <row r="138" spans="1:7">
      <c r="A138" s="351" t="str">
        <f>Start.listina!I87</f>
        <v/>
      </c>
      <c r="B138" s="401" t="str">
        <f>Start.listina!J87</f>
        <v xml:space="preserve"> </v>
      </c>
      <c r="C138" s="351" t="str">
        <f>Start.listina!K87</f>
        <v xml:space="preserve"> </v>
      </c>
      <c r="D138" s="351" t="str">
        <f>Start.listina!L87</f>
        <v xml:space="preserve"> </v>
      </c>
      <c r="E138" s="351">
        <f>Start.listina!M87</f>
        <v>9999</v>
      </c>
      <c r="F138" s="351">
        <f>Start.listina!N87</f>
        <v>0</v>
      </c>
      <c r="G138" s="7"/>
    </row>
    <row r="139" spans="1:7">
      <c r="A139" s="351" t="str">
        <f>Start.listina!I88</f>
        <v/>
      </c>
      <c r="B139" s="401" t="str">
        <f>Start.listina!J88</f>
        <v xml:space="preserve"> </v>
      </c>
      <c r="C139" s="351" t="str">
        <f>Start.listina!K88</f>
        <v xml:space="preserve"> </v>
      </c>
      <c r="D139" s="351" t="str">
        <f>Start.listina!L88</f>
        <v xml:space="preserve"> </v>
      </c>
      <c r="E139" s="351">
        <f>Start.listina!M88</f>
        <v>9999</v>
      </c>
      <c r="F139" s="351">
        <f>Start.listina!N88</f>
        <v>0</v>
      </c>
      <c r="G139" s="7"/>
    </row>
    <row r="140" spans="1:7">
      <c r="A140" s="351" t="str">
        <f>Start.listina!I89</f>
        <v/>
      </c>
      <c r="B140" s="401" t="str">
        <f>Start.listina!J89</f>
        <v xml:space="preserve"> </v>
      </c>
      <c r="C140" s="351" t="str">
        <f>Start.listina!K89</f>
        <v xml:space="preserve"> </v>
      </c>
      <c r="D140" s="351" t="str">
        <f>Start.listina!L89</f>
        <v xml:space="preserve"> </v>
      </c>
      <c r="E140" s="351">
        <f>Start.listina!M89</f>
        <v>9999</v>
      </c>
      <c r="F140" s="351">
        <f>Start.listina!N89</f>
        <v>0</v>
      </c>
      <c r="G140" s="7"/>
    </row>
    <row r="141" spans="1:7">
      <c r="A141" s="351" t="str">
        <f>Start.listina!I90</f>
        <v/>
      </c>
      <c r="B141" s="401" t="str">
        <f>Start.listina!J90</f>
        <v xml:space="preserve"> </v>
      </c>
      <c r="C141" s="351" t="str">
        <f>Start.listina!K90</f>
        <v xml:space="preserve"> </v>
      </c>
      <c r="D141" s="351" t="str">
        <f>Start.listina!L90</f>
        <v xml:space="preserve"> </v>
      </c>
      <c r="E141" s="351">
        <f>Start.listina!M90</f>
        <v>9999</v>
      </c>
      <c r="F141" s="351">
        <f>Start.listina!N90</f>
        <v>0</v>
      </c>
      <c r="G141" s="7"/>
    </row>
    <row r="142" spans="1:7">
      <c r="A142" s="351" t="str">
        <f>Start.listina!I91</f>
        <v/>
      </c>
      <c r="B142" s="401" t="str">
        <f>Start.listina!J91</f>
        <v xml:space="preserve"> </v>
      </c>
      <c r="C142" s="351" t="str">
        <f>Start.listina!K91</f>
        <v xml:space="preserve"> </v>
      </c>
      <c r="D142" s="351" t="str">
        <f>Start.listina!L91</f>
        <v xml:space="preserve"> </v>
      </c>
      <c r="E142" s="351">
        <f>Start.listina!M91</f>
        <v>9999</v>
      </c>
      <c r="F142" s="351">
        <f>Start.listina!N91</f>
        <v>0</v>
      </c>
      <c r="G142" s="7"/>
    </row>
    <row r="143" spans="1:7">
      <c r="A143" s="351" t="str">
        <f>Start.listina!I92</f>
        <v/>
      </c>
      <c r="B143" s="401" t="str">
        <f>Start.listina!J92</f>
        <v xml:space="preserve"> </v>
      </c>
      <c r="C143" s="351" t="str">
        <f>Start.listina!K92</f>
        <v xml:space="preserve"> </v>
      </c>
      <c r="D143" s="351" t="str">
        <f>Start.listina!L92</f>
        <v xml:space="preserve"> </v>
      </c>
      <c r="E143" s="351">
        <f>Start.listina!M92</f>
        <v>9999</v>
      </c>
      <c r="F143" s="351">
        <f>Start.listina!N92</f>
        <v>0</v>
      </c>
      <c r="G143" s="7"/>
    </row>
    <row r="144" spans="1:7">
      <c r="A144" s="351" t="str">
        <f>Start.listina!I93</f>
        <v/>
      </c>
      <c r="B144" s="401" t="str">
        <f>Start.listina!J93</f>
        <v xml:space="preserve"> </v>
      </c>
      <c r="C144" s="351" t="str">
        <f>Start.listina!K93</f>
        <v xml:space="preserve"> </v>
      </c>
      <c r="D144" s="351" t="str">
        <f>Start.listina!L93</f>
        <v xml:space="preserve"> </v>
      </c>
      <c r="E144" s="351">
        <f>Start.listina!M93</f>
        <v>9999</v>
      </c>
      <c r="F144" s="351">
        <f>Start.listina!N93</f>
        <v>0</v>
      </c>
      <c r="G144" s="7"/>
    </row>
    <row r="145" spans="1:7">
      <c r="A145" s="351" t="str">
        <f>Start.listina!I94</f>
        <v/>
      </c>
      <c r="B145" s="401" t="str">
        <f>Start.listina!J94</f>
        <v xml:space="preserve"> </v>
      </c>
      <c r="C145" s="351" t="str">
        <f>Start.listina!K94</f>
        <v xml:space="preserve"> </v>
      </c>
      <c r="D145" s="351" t="str">
        <f>Start.listina!L94</f>
        <v xml:space="preserve"> </v>
      </c>
      <c r="E145" s="351">
        <f>Start.listina!M94</f>
        <v>9999</v>
      </c>
      <c r="F145" s="351">
        <f>Start.listina!N94</f>
        <v>0</v>
      </c>
      <c r="G145" s="7"/>
    </row>
    <row r="146" spans="1:7">
      <c r="A146" s="351" t="str">
        <f>Start.listina!I95</f>
        <v/>
      </c>
      <c r="B146" s="401" t="str">
        <f>Start.listina!J95</f>
        <v xml:space="preserve"> </v>
      </c>
      <c r="C146" s="351" t="str">
        <f>Start.listina!K95</f>
        <v xml:space="preserve"> </v>
      </c>
      <c r="D146" s="351" t="str">
        <f>Start.listina!L95</f>
        <v xml:space="preserve"> </v>
      </c>
      <c r="E146" s="351">
        <f>Start.listina!M95</f>
        <v>9999</v>
      </c>
      <c r="F146" s="351">
        <f>Start.listina!N95</f>
        <v>0</v>
      </c>
      <c r="G146" s="7"/>
    </row>
    <row r="147" spans="1:7">
      <c r="A147" s="351" t="str">
        <f>Start.listina!I96</f>
        <v/>
      </c>
      <c r="B147" s="401" t="str">
        <f>Start.listina!J96</f>
        <v xml:space="preserve"> </v>
      </c>
      <c r="C147" s="351" t="str">
        <f>Start.listina!K96</f>
        <v xml:space="preserve"> </v>
      </c>
      <c r="D147" s="351" t="str">
        <f>Start.listina!L96</f>
        <v xml:space="preserve"> </v>
      </c>
      <c r="E147" s="351">
        <f>Start.listina!M96</f>
        <v>9999</v>
      </c>
      <c r="F147" s="351">
        <f>Start.listina!N96</f>
        <v>0</v>
      </c>
      <c r="G147" s="7"/>
    </row>
    <row r="148" spans="1:7">
      <c r="A148" s="351" t="str">
        <f>Start.listina!I97</f>
        <v/>
      </c>
      <c r="B148" s="401" t="str">
        <f>Start.listina!J97</f>
        <v xml:space="preserve"> </v>
      </c>
      <c r="C148" s="351" t="str">
        <f>Start.listina!K97</f>
        <v xml:space="preserve"> </v>
      </c>
      <c r="D148" s="351" t="str">
        <f>Start.listina!L97</f>
        <v xml:space="preserve"> </v>
      </c>
      <c r="E148" s="351">
        <f>Start.listina!M97</f>
        <v>9999</v>
      </c>
      <c r="F148" s="351">
        <f>Start.listina!N97</f>
        <v>0</v>
      </c>
      <c r="G148" s="7"/>
    </row>
    <row r="149" spans="1:7">
      <c r="A149" s="351" t="str">
        <f>Start.listina!I98</f>
        <v/>
      </c>
      <c r="B149" s="401" t="str">
        <f>Start.listina!J98</f>
        <v xml:space="preserve"> </v>
      </c>
      <c r="C149" s="351" t="str">
        <f>Start.listina!K98</f>
        <v xml:space="preserve"> </v>
      </c>
      <c r="D149" s="351" t="str">
        <f>Start.listina!L98</f>
        <v xml:space="preserve"> </v>
      </c>
      <c r="E149" s="351">
        <f>Start.listina!M98</f>
        <v>9999</v>
      </c>
      <c r="F149" s="351">
        <f>Start.listina!N98</f>
        <v>0</v>
      </c>
      <c r="G149" s="7"/>
    </row>
    <row r="150" spans="1:7">
      <c r="A150" s="351" t="str">
        <f>Start.listina!I99</f>
        <v/>
      </c>
      <c r="B150" s="401" t="str">
        <f>Start.listina!J99</f>
        <v xml:space="preserve"> </v>
      </c>
      <c r="C150" s="351" t="str">
        <f>Start.listina!K99</f>
        <v xml:space="preserve"> </v>
      </c>
      <c r="D150" s="351" t="str">
        <f>Start.listina!L99</f>
        <v xml:space="preserve"> </v>
      </c>
      <c r="E150" s="351">
        <f>Start.listina!M99</f>
        <v>9999</v>
      </c>
      <c r="F150" s="351">
        <f>Start.listina!N99</f>
        <v>0</v>
      </c>
      <c r="G150" s="7"/>
    </row>
    <row r="151" spans="1:7">
      <c r="A151" s="351" t="str">
        <f>Start.listina!I100</f>
        <v/>
      </c>
      <c r="B151" s="401" t="str">
        <f>Start.listina!J100</f>
        <v xml:space="preserve"> </v>
      </c>
      <c r="C151" s="351" t="str">
        <f>Start.listina!K100</f>
        <v xml:space="preserve"> </v>
      </c>
      <c r="D151" s="351" t="str">
        <f>Start.listina!L100</f>
        <v xml:space="preserve"> </v>
      </c>
      <c r="E151" s="351">
        <f>Start.listina!M100</f>
        <v>9999</v>
      </c>
      <c r="F151" s="351">
        <f>Start.listina!N100</f>
        <v>0</v>
      </c>
      <c r="G151" s="7"/>
    </row>
    <row r="152" spans="1:7">
      <c r="A152" s="351" t="str">
        <f>Start.listina!I101</f>
        <v/>
      </c>
      <c r="B152" s="401" t="str">
        <f>Start.listina!J101</f>
        <v xml:space="preserve"> </v>
      </c>
      <c r="C152" s="351" t="str">
        <f>Start.listina!K101</f>
        <v xml:space="preserve"> </v>
      </c>
      <c r="D152" s="351" t="str">
        <f>Start.listina!L101</f>
        <v xml:space="preserve"> </v>
      </c>
      <c r="E152" s="351">
        <f>Start.listina!M101</f>
        <v>9999</v>
      </c>
      <c r="F152" s="351">
        <f>Start.listina!N101</f>
        <v>0</v>
      </c>
      <c r="G152" s="7"/>
    </row>
    <row r="153" spans="1:7">
      <c r="A153" s="351" t="str">
        <f>Start.listina!I102</f>
        <v/>
      </c>
      <c r="B153" s="401" t="str">
        <f>Start.listina!J102</f>
        <v xml:space="preserve"> </v>
      </c>
      <c r="C153" s="351" t="str">
        <f>Start.listina!K102</f>
        <v xml:space="preserve"> </v>
      </c>
      <c r="D153" s="351" t="str">
        <f>Start.listina!L102</f>
        <v xml:space="preserve"> </v>
      </c>
      <c r="E153" s="351">
        <f>Start.listina!M102</f>
        <v>9999</v>
      </c>
      <c r="F153" s="351">
        <f>Start.listina!N102</f>
        <v>0</v>
      </c>
      <c r="G153" s="7"/>
    </row>
    <row r="154" spans="1:7">
      <c r="A154" s="351" t="str">
        <f>Start.listina!I103</f>
        <v/>
      </c>
      <c r="B154" s="401" t="str">
        <f>Start.listina!J103</f>
        <v xml:space="preserve"> </v>
      </c>
      <c r="C154" s="351" t="str">
        <f>Start.listina!K103</f>
        <v xml:space="preserve"> </v>
      </c>
      <c r="D154" s="351" t="str">
        <f>Start.listina!L103</f>
        <v xml:space="preserve"> </v>
      </c>
      <c r="E154" s="351">
        <f>Start.listina!M103</f>
        <v>9999</v>
      </c>
      <c r="F154" s="351">
        <f>Start.listina!N103</f>
        <v>0</v>
      </c>
      <c r="G154" s="7"/>
    </row>
    <row r="155" spans="1:7">
      <c r="A155" s="351" t="str">
        <f>Start.listina!I104</f>
        <v/>
      </c>
      <c r="B155" s="401" t="str">
        <f>Start.listina!J104</f>
        <v xml:space="preserve"> </v>
      </c>
      <c r="C155" s="351" t="str">
        <f>Start.listina!K104</f>
        <v xml:space="preserve"> </v>
      </c>
      <c r="D155" s="351" t="str">
        <f>Start.listina!L104</f>
        <v xml:space="preserve"> </v>
      </c>
      <c r="E155" s="351">
        <f>Start.listina!M104</f>
        <v>9999</v>
      </c>
      <c r="F155" s="351">
        <f>Start.listina!N104</f>
        <v>0</v>
      </c>
      <c r="G155" s="7"/>
    </row>
    <row r="156" spans="1:7">
      <c r="A156" s="351" t="str">
        <f>Start.listina!I105</f>
        <v/>
      </c>
      <c r="B156" s="401" t="str">
        <f>Start.listina!J105</f>
        <v xml:space="preserve"> </v>
      </c>
      <c r="C156" s="351" t="str">
        <f>Start.listina!K105</f>
        <v xml:space="preserve"> </v>
      </c>
      <c r="D156" s="351" t="str">
        <f>Start.listina!L105</f>
        <v xml:space="preserve"> </v>
      </c>
      <c r="E156" s="351">
        <f>Start.listina!M105</f>
        <v>9999</v>
      </c>
      <c r="F156" s="351">
        <f>Start.listina!N105</f>
        <v>0</v>
      </c>
      <c r="G156" s="7"/>
    </row>
    <row r="157" spans="1:7">
      <c r="A157" s="351" t="str">
        <f>Start.listina!I106</f>
        <v/>
      </c>
      <c r="B157" s="401" t="str">
        <f>Start.listina!J106</f>
        <v xml:space="preserve"> </v>
      </c>
      <c r="C157" s="351" t="str">
        <f>Start.listina!K106</f>
        <v xml:space="preserve"> </v>
      </c>
      <c r="D157" s="351" t="str">
        <f>Start.listina!L106</f>
        <v xml:space="preserve"> </v>
      </c>
      <c r="E157" s="351">
        <f>Start.listina!M106</f>
        <v>9999</v>
      </c>
      <c r="F157" s="351">
        <f>Start.listina!N106</f>
        <v>0</v>
      </c>
      <c r="G157" s="7"/>
    </row>
    <row r="158" spans="1:7">
      <c r="A158" s="351" t="str">
        <f>Start.listina!I107</f>
        <v/>
      </c>
      <c r="B158" s="401" t="str">
        <f>Start.listina!J107</f>
        <v xml:space="preserve"> </v>
      </c>
      <c r="C158" s="351" t="str">
        <f>Start.listina!K107</f>
        <v xml:space="preserve"> </v>
      </c>
      <c r="D158" s="351" t="str">
        <f>Start.listina!L107</f>
        <v xml:space="preserve"> </v>
      </c>
      <c r="E158" s="351">
        <f>Start.listina!M107</f>
        <v>9999</v>
      </c>
      <c r="F158" s="351">
        <f>Start.listina!N107</f>
        <v>0</v>
      </c>
      <c r="G158" s="7"/>
    </row>
    <row r="159" spans="1:7">
      <c r="A159" s="351" t="str">
        <f>Start.listina!I108</f>
        <v/>
      </c>
      <c r="B159" s="401" t="str">
        <f>Start.listina!J108</f>
        <v xml:space="preserve"> </v>
      </c>
      <c r="C159" s="351" t="str">
        <f>Start.listina!K108</f>
        <v xml:space="preserve"> </v>
      </c>
      <c r="D159" s="351" t="str">
        <f>Start.listina!L108</f>
        <v xml:space="preserve"> </v>
      </c>
      <c r="E159" s="351">
        <f>Start.listina!M108</f>
        <v>9999</v>
      </c>
      <c r="F159" s="351">
        <f>Start.listina!N108</f>
        <v>0</v>
      </c>
      <c r="G159" s="7"/>
    </row>
    <row r="160" spans="1:7">
      <c r="A160" s="351" t="str">
        <f>Start.listina!I109</f>
        <v/>
      </c>
      <c r="B160" s="401" t="str">
        <f>Start.listina!J109</f>
        <v xml:space="preserve"> </v>
      </c>
      <c r="C160" s="351" t="str">
        <f>Start.listina!K109</f>
        <v xml:space="preserve"> </v>
      </c>
      <c r="D160" s="351" t="str">
        <f>Start.listina!L109</f>
        <v xml:space="preserve"> </v>
      </c>
      <c r="E160" s="351">
        <f>Start.listina!M109</f>
        <v>9999</v>
      </c>
      <c r="F160" s="351">
        <f>Start.listina!N109</f>
        <v>0</v>
      </c>
      <c r="G160" s="7"/>
    </row>
    <row r="161" spans="1:7">
      <c r="A161" s="351" t="str">
        <f>Start.listina!I110</f>
        <v/>
      </c>
      <c r="B161" s="401" t="str">
        <f>Start.listina!J110</f>
        <v xml:space="preserve"> </v>
      </c>
      <c r="C161" s="351" t="str">
        <f>Start.listina!K110</f>
        <v xml:space="preserve"> </v>
      </c>
      <c r="D161" s="351" t="str">
        <f>Start.listina!L110</f>
        <v xml:space="preserve"> </v>
      </c>
      <c r="E161" s="351">
        <f>Start.listina!M110</f>
        <v>9999</v>
      </c>
      <c r="F161" s="351">
        <f>Start.listina!N110</f>
        <v>0</v>
      </c>
      <c r="G161" s="7"/>
    </row>
    <row r="162" spans="1:7">
      <c r="A162" s="351" t="str">
        <f>Start.listina!I111</f>
        <v/>
      </c>
      <c r="B162" s="401" t="str">
        <f>Start.listina!J111</f>
        <v xml:space="preserve"> </v>
      </c>
      <c r="C162" s="351" t="str">
        <f>Start.listina!K111</f>
        <v xml:space="preserve"> </v>
      </c>
      <c r="D162" s="351" t="str">
        <f>Start.listina!L111</f>
        <v xml:space="preserve"> </v>
      </c>
      <c r="E162" s="351">
        <f>Start.listina!M111</f>
        <v>9999</v>
      </c>
      <c r="F162" s="351">
        <f>Start.listina!N111</f>
        <v>0</v>
      </c>
      <c r="G162" s="7"/>
    </row>
    <row r="163" spans="1:7">
      <c r="A163" s="351" t="str">
        <f>Start.listina!I112</f>
        <v/>
      </c>
      <c r="B163" s="401" t="str">
        <f>Start.listina!J112</f>
        <v xml:space="preserve"> </v>
      </c>
      <c r="C163" s="351" t="str">
        <f>Start.listina!K112</f>
        <v xml:space="preserve"> </v>
      </c>
      <c r="D163" s="351" t="str">
        <f>Start.listina!L112</f>
        <v xml:space="preserve"> </v>
      </c>
      <c r="E163" s="351">
        <f>Start.listina!M112</f>
        <v>9999</v>
      </c>
      <c r="F163" s="351">
        <f>Start.listina!N112</f>
        <v>0</v>
      </c>
      <c r="G163" s="7"/>
    </row>
    <row r="164" spans="1:7">
      <c r="A164" s="351" t="str">
        <f>Start.listina!I113</f>
        <v/>
      </c>
      <c r="B164" s="401" t="str">
        <f>Start.listina!J113</f>
        <v xml:space="preserve"> </v>
      </c>
      <c r="C164" s="351" t="str">
        <f>Start.listina!K113</f>
        <v xml:space="preserve"> </v>
      </c>
      <c r="D164" s="351" t="str">
        <f>Start.listina!L113</f>
        <v xml:space="preserve"> </v>
      </c>
      <c r="E164" s="351">
        <f>Start.listina!M113</f>
        <v>9999</v>
      </c>
      <c r="F164" s="351">
        <f>Start.listina!N113</f>
        <v>0</v>
      </c>
      <c r="G164" s="7"/>
    </row>
    <row r="165" spans="1:7">
      <c r="A165" s="351" t="str">
        <f>Start.listina!I114</f>
        <v/>
      </c>
      <c r="B165" s="401" t="str">
        <f>Start.listina!J114</f>
        <v xml:space="preserve"> </v>
      </c>
      <c r="C165" s="351" t="str">
        <f>Start.listina!K114</f>
        <v xml:space="preserve"> </v>
      </c>
      <c r="D165" s="351" t="str">
        <f>Start.listina!L114</f>
        <v xml:space="preserve"> </v>
      </c>
      <c r="E165" s="351">
        <f>Start.listina!M114</f>
        <v>9999</v>
      </c>
      <c r="F165" s="351">
        <f>Start.listina!N114</f>
        <v>0</v>
      </c>
      <c r="G165" s="7"/>
    </row>
    <row r="166" spans="1:7">
      <c r="A166" s="351" t="str">
        <f>Start.listina!I115</f>
        <v/>
      </c>
      <c r="B166" s="401" t="str">
        <f>Start.listina!J115</f>
        <v xml:space="preserve"> </v>
      </c>
      <c r="C166" s="351" t="str">
        <f>Start.listina!K115</f>
        <v xml:space="preserve"> </v>
      </c>
      <c r="D166" s="351" t="str">
        <f>Start.listina!L115</f>
        <v xml:space="preserve"> </v>
      </c>
      <c r="E166" s="351">
        <f>Start.listina!M115</f>
        <v>9999</v>
      </c>
      <c r="F166" s="351">
        <f>Start.listina!N115</f>
        <v>0</v>
      </c>
      <c r="G166" s="7"/>
    </row>
    <row r="167" spans="1:7">
      <c r="A167" s="351" t="str">
        <f>Start.listina!I116</f>
        <v/>
      </c>
      <c r="B167" s="401" t="str">
        <f>Start.listina!J116</f>
        <v xml:space="preserve"> </v>
      </c>
      <c r="C167" s="351" t="str">
        <f>Start.listina!K116</f>
        <v xml:space="preserve"> </v>
      </c>
      <c r="D167" s="351" t="str">
        <f>Start.listina!L116</f>
        <v xml:space="preserve"> </v>
      </c>
      <c r="E167" s="351">
        <f>Start.listina!M116</f>
        <v>9999</v>
      </c>
      <c r="F167" s="351">
        <f>Start.listina!N116</f>
        <v>0</v>
      </c>
      <c r="G167" s="7"/>
    </row>
    <row r="168" spans="1:7">
      <c r="A168" s="351" t="str">
        <f>Start.listina!I117</f>
        <v/>
      </c>
      <c r="B168" s="401" t="str">
        <f>Start.listina!J117</f>
        <v xml:space="preserve"> </v>
      </c>
      <c r="C168" s="351" t="str">
        <f>Start.listina!K117</f>
        <v xml:space="preserve"> </v>
      </c>
      <c r="D168" s="351" t="str">
        <f>Start.listina!L117</f>
        <v xml:space="preserve"> </v>
      </c>
      <c r="E168" s="351">
        <f>Start.listina!M117</f>
        <v>9999</v>
      </c>
      <c r="F168" s="351">
        <f>Start.listina!N117</f>
        <v>0</v>
      </c>
      <c r="G168" s="7"/>
    </row>
    <row r="169" spans="1:7">
      <c r="A169" s="351" t="str">
        <f>Start.listina!I118</f>
        <v/>
      </c>
      <c r="B169" s="401" t="str">
        <f>Start.listina!J118</f>
        <v xml:space="preserve"> </v>
      </c>
      <c r="C169" s="351" t="str">
        <f>Start.listina!K118</f>
        <v xml:space="preserve"> </v>
      </c>
      <c r="D169" s="351" t="str">
        <f>Start.listina!L118</f>
        <v xml:space="preserve"> </v>
      </c>
      <c r="E169" s="351">
        <f>Start.listina!M118</f>
        <v>9999</v>
      </c>
      <c r="F169" s="351">
        <f>Start.listina!N118</f>
        <v>0</v>
      </c>
      <c r="G169" s="7"/>
    </row>
    <row r="170" spans="1:7">
      <c r="A170" s="351" t="str">
        <f>Start.listina!I119</f>
        <v/>
      </c>
      <c r="B170" s="401" t="str">
        <f>Start.listina!J119</f>
        <v xml:space="preserve"> </v>
      </c>
      <c r="C170" s="351" t="str">
        <f>Start.listina!K119</f>
        <v xml:space="preserve"> </v>
      </c>
      <c r="D170" s="351" t="str">
        <f>Start.listina!L119</f>
        <v xml:space="preserve"> </v>
      </c>
      <c r="E170" s="351">
        <f>Start.listina!M119</f>
        <v>9999</v>
      </c>
      <c r="F170" s="351">
        <f>Start.listina!N119</f>
        <v>0</v>
      </c>
      <c r="G170" s="7"/>
    </row>
    <row r="171" spans="1:7">
      <c r="A171" s="351" t="str">
        <f>Start.listina!I120</f>
        <v/>
      </c>
      <c r="B171" s="401" t="str">
        <f>Start.listina!J120</f>
        <v xml:space="preserve"> </v>
      </c>
      <c r="C171" s="351" t="str">
        <f>Start.listina!K120</f>
        <v xml:space="preserve"> </v>
      </c>
      <c r="D171" s="351" t="str">
        <f>Start.listina!L120</f>
        <v xml:space="preserve"> </v>
      </c>
      <c r="E171" s="351">
        <f>Start.listina!M120</f>
        <v>9999</v>
      </c>
      <c r="F171" s="351">
        <f>Start.listina!N120</f>
        <v>0</v>
      </c>
      <c r="G171" s="7"/>
    </row>
    <row r="172" spans="1:7">
      <c r="A172" s="351" t="str">
        <f>Start.listina!I121</f>
        <v/>
      </c>
      <c r="B172" s="401" t="str">
        <f>Start.listina!J121</f>
        <v xml:space="preserve"> </v>
      </c>
      <c r="C172" s="351" t="str">
        <f>Start.listina!K121</f>
        <v xml:space="preserve"> </v>
      </c>
      <c r="D172" s="351" t="str">
        <f>Start.listina!L121</f>
        <v xml:space="preserve"> </v>
      </c>
      <c r="E172" s="351">
        <f>Start.listina!M121</f>
        <v>9999</v>
      </c>
      <c r="F172" s="351">
        <f>Start.listina!N121</f>
        <v>0</v>
      </c>
      <c r="G172" s="7"/>
    </row>
    <row r="173" spans="1:7">
      <c r="A173" s="351" t="str">
        <f>Start.listina!I122</f>
        <v/>
      </c>
      <c r="B173" s="401" t="str">
        <f>Start.listina!J122</f>
        <v xml:space="preserve"> </v>
      </c>
      <c r="C173" s="351" t="str">
        <f>Start.listina!K122</f>
        <v xml:space="preserve"> </v>
      </c>
      <c r="D173" s="351" t="str">
        <f>Start.listina!L122</f>
        <v xml:space="preserve"> </v>
      </c>
      <c r="E173" s="351">
        <f>Start.listina!M122</f>
        <v>9999</v>
      </c>
      <c r="F173" s="351">
        <f>Start.listina!N122</f>
        <v>0</v>
      </c>
      <c r="G173" s="7"/>
    </row>
    <row r="174" spans="1:7">
      <c r="A174" s="351" t="str">
        <f>Start.listina!I123</f>
        <v/>
      </c>
      <c r="B174" s="401" t="str">
        <f>Start.listina!J123</f>
        <v xml:space="preserve"> </v>
      </c>
      <c r="C174" s="351" t="str">
        <f>Start.listina!K123</f>
        <v xml:space="preserve"> </v>
      </c>
      <c r="D174" s="351" t="str">
        <f>Start.listina!L123</f>
        <v xml:space="preserve"> </v>
      </c>
      <c r="E174" s="351">
        <f>Start.listina!M123</f>
        <v>9999</v>
      </c>
      <c r="F174" s="351">
        <f>Start.listina!N123</f>
        <v>0</v>
      </c>
      <c r="G174" s="7"/>
    </row>
    <row r="175" spans="1:7">
      <c r="A175" s="351" t="str">
        <f>Start.listina!I124</f>
        <v/>
      </c>
      <c r="B175" s="401" t="str">
        <f>Start.listina!J124</f>
        <v xml:space="preserve"> </v>
      </c>
      <c r="C175" s="351" t="str">
        <f>Start.listina!K124</f>
        <v xml:space="preserve"> </v>
      </c>
      <c r="D175" s="351" t="str">
        <f>Start.listina!L124</f>
        <v xml:space="preserve"> </v>
      </c>
      <c r="E175" s="351">
        <f>Start.listina!M124</f>
        <v>9999</v>
      </c>
      <c r="F175" s="351">
        <f>Start.listina!N124</f>
        <v>0</v>
      </c>
      <c r="G175" s="7"/>
    </row>
    <row r="176" spans="1:7">
      <c r="A176" s="351" t="str">
        <f>Start.listina!I125</f>
        <v/>
      </c>
      <c r="B176" s="401" t="str">
        <f>Start.listina!J125</f>
        <v xml:space="preserve"> </v>
      </c>
      <c r="C176" s="351" t="str">
        <f>Start.listina!K125</f>
        <v xml:space="preserve"> </v>
      </c>
      <c r="D176" s="351" t="str">
        <f>Start.listina!L125</f>
        <v xml:space="preserve"> </v>
      </c>
      <c r="E176" s="351">
        <f>Start.listina!M125</f>
        <v>9999</v>
      </c>
      <c r="F176" s="351">
        <f>Start.listina!N125</f>
        <v>0</v>
      </c>
      <c r="G176" s="7"/>
    </row>
    <row r="177" spans="1:7">
      <c r="A177" s="351" t="str">
        <f>Start.listina!I126</f>
        <v/>
      </c>
      <c r="B177" s="401" t="str">
        <f>Start.listina!J126</f>
        <v xml:space="preserve"> </v>
      </c>
      <c r="C177" s="351" t="str">
        <f>Start.listina!K126</f>
        <v xml:space="preserve"> </v>
      </c>
      <c r="D177" s="351" t="str">
        <f>Start.listina!L126</f>
        <v xml:space="preserve"> </v>
      </c>
      <c r="E177" s="351">
        <f>Start.listina!M126</f>
        <v>9999</v>
      </c>
      <c r="F177" s="351">
        <f>Start.listina!N126</f>
        <v>0</v>
      </c>
      <c r="G177" s="7"/>
    </row>
    <row r="178" spans="1:7">
      <c r="A178" s="351" t="str">
        <f>Start.listina!I127</f>
        <v/>
      </c>
      <c r="B178" s="401" t="str">
        <f>Start.listina!J127</f>
        <v xml:space="preserve"> </v>
      </c>
      <c r="C178" s="351" t="str">
        <f>Start.listina!K127</f>
        <v xml:space="preserve"> </v>
      </c>
      <c r="D178" s="351" t="str">
        <f>Start.listina!L127</f>
        <v xml:space="preserve"> </v>
      </c>
      <c r="E178" s="351">
        <f>Start.listina!M127</f>
        <v>9999</v>
      </c>
      <c r="F178" s="351">
        <f>Start.listina!N127</f>
        <v>0</v>
      </c>
      <c r="G178" s="7"/>
    </row>
    <row r="179" spans="1:7">
      <c r="A179" s="351" t="str">
        <f>Start.listina!I128</f>
        <v/>
      </c>
      <c r="B179" s="401" t="str">
        <f>Start.listina!J128</f>
        <v xml:space="preserve"> </v>
      </c>
      <c r="C179" s="351" t="str">
        <f>Start.listina!K128</f>
        <v xml:space="preserve"> </v>
      </c>
      <c r="D179" s="351" t="str">
        <f>Start.listina!L128</f>
        <v xml:space="preserve"> </v>
      </c>
      <c r="E179" s="351">
        <f>Start.listina!M128</f>
        <v>9999</v>
      </c>
      <c r="F179" s="351">
        <f>Start.listina!N128</f>
        <v>0</v>
      </c>
      <c r="G179" s="7"/>
    </row>
    <row r="180" spans="1:7">
      <c r="A180" s="351" t="str">
        <f>Start.listina!I129</f>
        <v/>
      </c>
      <c r="B180" s="401" t="str">
        <f>Start.listina!J129</f>
        <v xml:space="preserve"> </v>
      </c>
      <c r="C180" s="351" t="str">
        <f>Start.listina!K129</f>
        <v xml:space="preserve"> </v>
      </c>
      <c r="D180" s="351" t="str">
        <f>Start.listina!L129</f>
        <v xml:space="preserve"> </v>
      </c>
      <c r="E180" s="351">
        <f>Start.listina!M129</f>
        <v>9999</v>
      </c>
      <c r="F180" s="351">
        <f>Start.listina!N129</f>
        <v>0</v>
      </c>
      <c r="G180" s="7"/>
    </row>
    <row r="181" spans="1:7">
      <c r="A181" s="351" t="str">
        <f>Start.listina!I130</f>
        <v/>
      </c>
      <c r="B181" s="401" t="str">
        <f>Start.listina!J130</f>
        <v xml:space="preserve"> </v>
      </c>
      <c r="C181" s="351" t="str">
        <f>Start.listina!K130</f>
        <v xml:space="preserve"> </v>
      </c>
      <c r="D181" s="351" t="str">
        <f>Start.listina!L130</f>
        <v xml:space="preserve"> </v>
      </c>
      <c r="E181" s="351">
        <f>Start.listina!M130</f>
        <v>9999</v>
      </c>
      <c r="F181" s="351">
        <f>Start.listina!N130</f>
        <v>0</v>
      </c>
      <c r="G181" s="7"/>
    </row>
    <row r="182" spans="1:7">
      <c r="A182" s="351" t="str">
        <f>Start.listina!I131</f>
        <v/>
      </c>
      <c r="B182" s="401" t="str">
        <f>Start.listina!J131</f>
        <v xml:space="preserve"> </v>
      </c>
      <c r="C182" s="351" t="str">
        <f>Start.listina!K131</f>
        <v xml:space="preserve"> </v>
      </c>
      <c r="D182" s="351" t="str">
        <f>Start.listina!L131</f>
        <v xml:space="preserve"> </v>
      </c>
      <c r="E182" s="351">
        <f>Start.listina!M131</f>
        <v>9999</v>
      </c>
      <c r="F182" s="351">
        <f>Start.listina!N131</f>
        <v>0</v>
      </c>
      <c r="G182" s="7"/>
    </row>
    <row r="183" spans="1:7">
      <c r="A183" s="351" t="str">
        <f>Start.listina!I132</f>
        <v/>
      </c>
      <c r="B183" s="401" t="str">
        <f>Start.listina!J132</f>
        <v xml:space="preserve"> </v>
      </c>
      <c r="C183" s="351" t="str">
        <f>Start.listina!K132</f>
        <v xml:space="preserve"> </v>
      </c>
      <c r="D183" s="351" t="str">
        <f>Start.listina!L132</f>
        <v xml:space="preserve"> </v>
      </c>
      <c r="E183" s="351">
        <f>Start.listina!M132</f>
        <v>9999</v>
      </c>
      <c r="F183" s="351">
        <f>Start.listina!N132</f>
        <v>0</v>
      </c>
      <c r="G183" s="7"/>
    </row>
    <row r="184" spans="1:7">
      <c r="A184" s="351" t="str">
        <f>Start.listina!I133</f>
        <v/>
      </c>
      <c r="B184" s="401" t="str">
        <f>Start.listina!J133</f>
        <v xml:space="preserve"> </v>
      </c>
      <c r="C184" s="351" t="str">
        <f>Start.listina!K133</f>
        <v xml:space="preserve"> </v>
      </c>
      <c r="D184" s="351" t="str">
        <f>Start.listina!L133</f>
        <v xml:space="preserve"> </v>
      </c>
      <c r="E184" s="351">
        <f>Start.listina!M133</f>
        <v>9999</v>
      </c>
      <c r="F184" s="351">
        <f>Start.listina!N133</f>
        <v>0</v>
      </c>
      <c r="G184" s="7"/>
    </row>
    <row r="185" spans="1:7">
      <c r="A185" s="351" t="str">
        <f>Start.listina!I134</f>
        <v/>
      </c>
      <c r="B185" s="401" t="str">
        <f>Start.listina!J134</f>
        <v xml:space="preserve"> </v>
      </c>
      <c r="C185" s="351" t="str">
        <f>Start.listina!K134</f>
        <v xml:space="preserve"> </v>
      </c>
      <c r="D185" s="351" t="str">
        <f>Start.listina!L134</f>
        <v xml:space="preserve"> </v>
      </c>
      <c r="E185" s="351">
        <f>Start.listina!M134</f>
        <v>9999</v>
      </c>
      <c r="F185" s="351">
        <f>Start.listina!N134</f>
        <v>0</v>
      </c>
      <c r="G185" s="7"/>
    </row>
    <row r="186" spans="1:7">
      <c r="A186" s="351" t="str">
        <f>Start.listina!I135</f>
        <v/>
      </c>
      <c r="B186" s="401" t="str">
        <f>Start.listina!J135</f>
        <v xml:space="preserve"> </v>
      </c>
      <c r="C186" s="351" t="str">
        <f>Start.listina!K135</f>
        <v xml:space="preserve"> </v>
      </c>
      <c r="D186" s="351" t="str">
        <f>Start.listina!L135</f>
        <v xml:space="preserve"> </v>
      </c>
      <c r="E186" s="351">
        <f>Start.listina!M135</f>
        <v>9999</v>
      </c>
      <c r="F186" s="351">
        <f>Start.listina!N135</f>
        <v>0</v>
      </c>
      <c r="G186" s="7"/>
    </row>
    <row r="187" spans="1:7">
      <c r="A187" s="351" t="str">
        <f>Start.listina!I136</f>
        <v/>
      </c>
      <c r="B187" s="401" t="str">
        <f>Start.listina!J136</f>
        <v xml:space="preserve"> </v>
      </c>
      <c r="C187" s="351" t="str">
        <f>Start.listina!K136</f>
        <v xml:space="preserve"> </v>
      </c>
      <c r="D187" s="351" t="str">
        <f>Start.listina!L136</f>
        <v xml:space="preserve"> </v>
      </c>
      <c r="E187" s="351">
        <f>Start.listina!M136</f>
        <v>9999</v>
      </c>
      <c r="F187" s="351">
        <f>Start.listina!N136</f>
        <v>0</v>
      </c>
      <c r="G187" s="7"/>
    </row>
    <row r="188" spans="1:7">
      <c r="A188" s="351" t="str">
        <f>Start.listina!I137</f>
        <v/>
      </c>
      <c r="B188" s="401" t="str">
        <f>Start.listina!J137</f>
        <v xml:space="preserve"> </v>
      </c>
      <c r="C188" s="351" t="str">
        <f>Start.listina!K137</f>
        <v xml:space="preserve"> </v>
      </c>
      <c r="D188" s="351" t="str">
        <f>Start.listina!L137</f>
        <v xml:space="preserve"> </v>
      </c>
      <c r="E188" s="351">
        <f>Start.listina!M137</f>
        <v>9999</v>
      </c>
      <c r="F188" s="351">
        <f>Start.listina!N137</f>
        <v>0</v>
      </c>
      <c r="G188" s="7"/>
    </row>
    <row r="189" spans="1:7">
      <c r="A189" s="351" t="str">
        <f>Start.listina!I138</f>
        <v/>
      </c>
      <c r="B189" s="401" t="str">
        <f>Start.listina!J138</f>
        <v xml:space="preserve"> </v>
      </c>
      <c r="C189" s="351" t="str">
        <f>Start.listina!K138</f>
        <v xml:space="preserve"> </v>
      </c>
      <c r="D189" s="351" t="str">
        <f>Start.listina!L138</f>
        <v xml:space="preserve"> </v>
      </c>
      <c r="E189" s="351">
        <f>Start.listina!M138</f>
        <v>9999</v>
      </c>
      <c r="F189" s="351">
        <f>Start.listina!N138</f>
        <v>0</v>
      </c>
      <c r="G189" s="7"/>
    </row>
    <row r="190" spans="1:7">
      <c r="A190" s="351" t="str">
        <f ca="1">Start.listina!I139</f>
        <v/>
      </c>
      <c r="B190" s="401" t="str">
        <f ca="1">Start.listina!J139</f>
        <v xml:space="preserve"> </v>
      </c>
      <c r="C190" s="351" t="str">
        <f ca="1">Start.listina!K139</f>
        <v xml:space="preserve"> </v>
      </c>
      <c r="D190" s="351" t="str">
        <f ca="1">Start.listina!L139</f>
        <v xml:space="preserve"> </v>
      </c>
      <c r="E190" s="351">
        <f ca="1">Start.listina!M139</f>
        <v>9999</v>
      </c>
      <c r="F190" s="351">
        <f ca="1">Start.listina!N139</f>
        <v>0</v>
      </c>
      <c r="G190" s="7"/>
    </row>
    <row r="191" spans="1:7">
      <c r="A191" s="351" t="str">
        <f ca="1">Start.listina!I140</f>
        <v/>
      </c>
      <c r="B191" s="401" t="str">
        <f ca="1">Start.listina!J140</f>
        <v xml:space="preserve"> </v>
      </c>
      <c r="C191" s="351" t="str">
        <f ca="1">Start.listina!K140</f>
        <v xml:space="preserve"> </v>
      </c>
      <c r="D191" s="351" t="str">
        <f ca="1">Start.listina!L140</f>
        <v xml:space="preserve"> </v>
      </c>
      <c r="E191" s="351">
        <f ca="1">Start.listina!M140</f>
        <v>9999</v>
      </c>
      <c r="F191" s="351">
        <f ca="1">Start.listina!N140</f>
        <v>0</v>
      </c>
      <c r="G191" s="7"/>
    </row>
    <row r="192" spans="1:7">
      <c r="A192" s="351" t="str">
        <f ca="1">Start.listina!I141</f>
        <v/>
      </c>
      <c r="B192" s="401" t="str">
        <f ca="1">Start.listina!J141</f>
        <v xml:space="preserve"> </v>
      </c>
      <c r="C192" s="351" t="str">
        <f ca="1">Start.listina!K141</f>
        <v xml:space="preserve"> </v>
      </c>
      <c r="D192" s="351" t="str">
        <f ca="1">Start.listina!L141</f>
        <v xml:space="preserve"> </v>
      </c>
      <c r="E192" s="351">
        <f ca="1">Start.listina!M141</f>
        <v>9999</v>
      </c>
      <c r="F192" s="351">
        <f ca="1">Start.listina!N141</f>
        <v>0</v>
      </c>
      <c r="G192" s="7"/>
    </row>
    <row r="193" spans="1:7">
      <c r="A193" s="351" t="str">
        <f ca="1">Start.listina!I142</f>
        <v/>
      </c>
      <c r="B193" s="401" t="str">
        <f ca="1">Start.listina!J142</f>
        <v xml:space="preserve"> </v>
      </c>
      <c r="C193" s="351" t="str">
        <f ca="1">Start.listina!K142</f>
        <v xml:space="preserve"> </v>
      </c>
      <c r="D193" s="351" t="str">
        <f ca="1">Start.listina!L142</f>
        <v xml:space="preserve"> </v>
      </c>
      <c r="E193" s="351">
        <f ca="1">Start.listina!M142</f>
        <v>9999</v>
      </c>
      <c r="F193" s="351">
        <f ca="1">Start.listina!N142</f>
        <v>0</v>
      </c>
      <c r="G193" s="7"/>
    </row>
    <row r="194" spans="1:7">
      <c r="A194" s="351" t="str">
        <f ca="1">Start.listina!I143</f>
        <v/>
      </c>
      <c r="B194" s="401" t="str">
        <f ca="1">Start.listina!J143</f>
        <v xml:space="preserve"> </v>
      </c>
      <c r="C194" s="351" t="str">
        <f ca="1">Start.listina!K143</f>
        <v xml:space="preserve"> </v>
      </c>
      <c r="D194" s="351" t="str">
        <f ca="1">Start.listina!L143</f>
        <v xml:space="preserve"> </v>
      </c>
      <c r="E194" s="351">
        <f ca="1">Start.listina!M143</f>
        <v>9999</v>
      </c>
      <c r="F194" s="351">
        <f ca="1">Start.listina!N143</f>
        <v>0</v>
      </c>
      <c r="G194" s="7"/>
    </row>
    <row r="195" spans="1:7">
      <c r="A195" s="351" t="str">
        <f ca="1">Start.listina!I144</f>
        <v/>
      </c>
      <c r="B195" s="401" t="str">
        <f ca="1">Start.listina!J144</f>
        <v xml:space="preserve"> </v>
      </c>
      <c r="C195" s="351" t="str">
        <f ca="1">Start.listina!K144</f>
        <v xml:space="preserve"> </v>
      </c>
      <c r="D195" s="351" t="str">
        <f ca="1">Start.listina!L144</f>
        <v xml:space="preserve"> </v>
      </c>
      <c r="E195" s="351">
        <f ca="1">Start.listina!M144</f>
        <v>9999</v>
      </c>
      <c r="F195" s="351">
        <f ca="1">Start.listina!N144</f>
        <v>0</v>
      </c>
      <c r="G195" s="7"/>
    </row>
    <row r="196" spans="1:7">
      <c r="A196" s="351" t="str">
        <f ca="1">Start.listina!I145</f>
        <v/>
      </c>
      <c r="B196" s="401" t="str">
        <f ca="1">Start.listina!J145</f>
        <v xml:space="preserve"> </v>
      </c>
      <c r="C196" s="351" t="str">
        <f ca="1">Start.listina!K145</f>
        <v xml:space="preserve"> </v>
      </c>
      <c r="D196" s="351" t="str">
        <f ca="1">Start.listina!L145</f>
        <v xml:space="preserve"> </v>
      </c>
      <c r="E196" s="351">
        <f ca="1">Start.listina!M145</f>
        <v>9999</v>
      </c>
      <c r="F196" s="351">
        <f ca="1">Start.listina!N145</f>
        <v>0</v>
      </c>
      <c r="G196" s="7"/>
    </row>
    <row r="197" spans="1:7">
      <c r="A197" s="351" t="str">
        <f ca="1">Start.listina!I146</f>
        <v/>
      </c>
      <c r="B197" s="401" t="str">
        <f ca="1">Start.listina!J146</f>
        <v xml:space="preserve"> </v>
      </c>
      <c r="C197" s="351" t="str">
        <f ca="1">Start.listina!K146</f>
        <v xml:space="preserve"> </v>
      </c>
      <c r="D197" s="351" t="str">
        <f ca="1">Start.listina!L146</f>
        <v xml:space="preserve"> </v>
      </c>
      <c r="E197" s="351">
        <f ca="1">Start.listina!M146</f>
        <v>9999</v>
      </c>
      <c r="F197" s="351">
        <f ca="1">Start.listina!N146</f>
        <v>0</v>
      </c>
      <c r="G197" s="7"/>
    </row>
    <row r="198" spans="1:7">
      <c r="A198" s="351" t="str">
        <f ca="1">Start.listina!I147</f>
        <v/>
      </c>
      <c r="B198" s="401" t="str">
        <f ca="1">Start.listina!J147</f>
        <v xml:space="preserve"> </v>
      </c>
      <c r="C198" s="351" t="str">
        <f ca="1">Start.listina!K147</f>
        <v xml:space="preserve"> </v>
      </c>
      <c r="D198" s="351" t="str">
        <f ca="1">Start.listina!L147</f>
        <v xml:space="preserve"> </v>
      </c>
      <c r="E198" s="351">
        <f ca="1">Start.listina!M147</f>
        <v>9999</v>
      </c>
      <c r="F198" s="351">
        <f ca="1">Start.listina!N147</f>
        <v>0</v>
      </c>
      <c r="G198" s="7"/>
    </row>
    <row r="199" spans="1:7">
      <c r="A199" s="351" t="str">
        <f ca="1">Start.listina!I148</f>
        <v/>
      </c>
      <c r="B199" s="401" t="str">
        <f ca="1">Start.listina!J148</f>
        <v xml:space="preserve"> </v>
      </c>
      <c r="C199" s="351" t="str">
        <f ca="1">Start.listina!K148</f>
        <v xml:space="preserve"> </v>
      </c>
      <c r="D199" s="351" t="str">
        <f ca="1">Start.listina!L148</f>
        <v xml:space="preserve"> </v>
      </c>
      <c r="E199" s="351">
        <f ca="1">Start.listina!M148</f>
        <v>9999</v>
      </c>
      <c r="F199" s="351">
        <f ca="1">Start.listina!N148</f>
        <v>0</v>
      </c>
      <c r="G199" s="7"/>
    </row>
    <row r="200" spans="1:7">
      <c r="A200" s="351" t="str">
        <f>Start.listina!O42</f>
        <v/>
      </c>
      <c r="B200" s="401" t="str">
        <f>Start.listina!P42</f>
        <v>Michal Stano</v>
      </c>
      <c r="C200" s="351" t="str">
        <f>Start.listina!Q42</f>
        <v xml:space="preserve"> </v>
      </c>
      <c r="D200" s="351" t="str">
        <f>Start.listina!R42</f>
        <v xml:space="preserve"> </v>
      </c>
      <c r="E200" s="351">
        <f>Start.listina!S42</f>
        <v>9999</v>
      </c>
      <c r="F200" s="351">
        <f>Start.listina!T42</f>
        <v>0</v>
      </c>
      <c r="G200" s="7"/>
    </row>
    <row r="201" spans="1:7">
      <c r="A201" s="351" t="str">
        <f>Start.listina!O64</f>
        <v/>
      </c>
      <c r="B201" s="401" t="str">
        <f>Start.listina!P64</f>
        <v>Jiřinka</v>
      </c>
      <c r="C201" s="351" t="str">
        <f>Start.listina!Q64</f>
        <v xml:space="preserve"> </v>
      </c>
      <c r="D201" s="351" t="str">
        <f>Start.listina!R64</f>
        <v xml:space="preserve"> </v>
      </c>
      <c r="E201" s="351">
        <f>Start.listina!S64</f>
        <v>9999</v>
      </c>
      <c r="F201" s="351">
        <f>Start.listina!T64</f>
        <v>0</v>
      </c>
      <c r="G201" s="7"/>
    </row>
    <row r="202" spans="1:7">
      <c r="A202" s="351" t="str">
        <f>Start.listina!O65</f>
        <v/>
      </c>
      <c r="B202" s="401" t="str">
        <f>Start.listina!P65</f>
        <v>Mouchová Květa</v>
      </c>
      <c r="C202" s="351" t="str">
        <f>Start.listina!Q65</f>
        <v xml:space="preserve"> </v>
      </c>
      <c r="D202" s="351" t="str">
        <f>Start.listina!R65</f>
        <v xml:space="preserve"> </v>
      </c>
      <c r="E202" s="351">
        <f>Start.listina!S65</f>
        <v>9999</v>
      </c>
      <c r="F202" s="351">
        <f>Start.listina!T65</f>
        <v>0</v>
      </c>
      <c r="G202" s="7"/>
    </row>
    <row r="203" spans="1:7">
      <c r="A203" s="351" t="str">
        <f>Start.listina!O69</f>
        <v/>
      </c>
      <c r="B203" s="401" t="str">
        <f>Start.listina!P69</f>
        <v>Materna Aleš</v>
      </c>
      <c r="C203" s="351" t="str">
        <f>Start.listina!Q69</f>
        <v xml:space="preserve"> </v>
      </c>
      <c r="D203" s="351" t="str">
        <f>Start.listina!R69</f>
        <v xml:space="preserve"> </v>
      </c>
      <c r="E203" s="351">
        <f>Start.listina!S69</f>
        <v>9999</v>
      </c>
      <c r="F203" s="351">
        <f>Start.listina!T69</f>
        <v>0</v>
      </c>
      <c r="G203" s="7"/>
    </row>
    <row r="204" spans="1:7">
      <c r="A204" s="351" t="str">
        <f>Start.listina!O72</f>
        <v/>
      </c>
      <c r="B204" s="401" t="str">
        <f>Start.listina!P72</f>
        <v>Ondřej Pfeiffer</v>
      </c>
      <c r="C204" s="351" t="str">
        <f>Start.listina!Q72</f>
        <v xml:space="preserve"> </v>
      </c>
      <c r="D204" s="351" t="str">
        <f>Start.listina!R72</f>
        <v xml:space="preserve"> </v>
      </c>
      <c r="E204" s="351">
        <f>Start.listina!S72</f>
        <v>9999</v>
      </c>
      <c r="F204" s="351">
        <f>Start.listina!T72</f>
        <v>0</v>
      </c>
      <c r="G204" s="7"/>
    </row>
    <row r="205" spans="1:7">
      <c r="A205" s="351">
        <f>Start.listina!O73</f>
        <v>17010</v>
      </c>
      <c r="B205" s="401" t="str">
        <f>Start.listina!P73</f>
        <v>Hynková</v>
      </c>
      <c r="C205" s="351" t="str">
        <f>Start.listina!Q73</f>
        <v>Renata</v>
      </c>
      <c r="D205" s="351" t="str">
        <f>Start.listina!R73</f>
        <v>SK Španielka Řepy</v>
      </c>
      <c r="E205" s="351">
        <f>Start.listina!S73</f>
        <v>759</v>
      </c>
      <c r="F205" s="351">
        <f>Start.listina!T73</f>
        <v>0</v>
      </c>
      <c r="G205" s="7"/>
    </row>
    <row r="206" spans="1:7">
      <c r="A206" s="351" t="str">
        <f>Start.listina!O74</f>
        <v/>
      </c>
      <c r="B206" s="401" t="str">
        <f>Start.listina!P74</f>
        <v xml:space="preserve"> </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1" t="str">
        <f>Start.listina!P75</f>
        <v xml:space="preserve"> </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21"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t="shared" ref="C3:C34" ca="1" si="0">IF(T(A3)="","X"," ")</f>
        <v xml:space="preserve"> </v>
      </c>
    </row>
    <row r="4" spans="1:43">
      <c r="A4" s="2" t="str">
        <f ca="1">Nasazení!B38</f>
        <v>A2</v>
      </c>
      <c r="B4" s="11" t="str">
        <f ca="1">Nasazení!C38</f>
        <v>36 SK Sahara Vědomice - Červenková Andrea</v>
      </c>
      <c r="C4" t="str">
        <f t="shared" ca="1" si="0"/>
        <v xml:space="preserve"> </v>
      </c>
    </row>
    <row r="5" spans="1:43">
      <c r="A5" s="2" t="str">
        <f ca="1">Nasazení!B39</f>
        <v>A3</v>
      </c>
      <c r="B5" s="11" t="str">
        <f ca="1">Nasazení!C39</f>
        <v>37 PEK Stolín - Mallat Oldřich</v>
      </c>
      <c r="C5" t="str">
        <f t="shared" ca="1" si="0"/>
        <v xml:space="preserve"> </v>
      </c>
    </row>
    <row r="6" spans="1:43">
      <c r="A6" s="2" t="str">
        <f ca="1">Nasazení!B4</f>
        <v>B1</v>
      </c>
      <c r="B6" s="11" t="str">
        <f ca="1">Nasazení!C4</f>
        <v>2 SK Sahara Vědomice - Demčík Milan St.</v>
      </c>
      <c r="C6" t="str">
        <f t="shared" ca="1" si="0"/>
        <v xml:space="preserve"> </v>
      </c>
    </row>
    <row r="7" spans="1:43">
      <c r="A7" s="2" t="str">
        <f ca="1">Nasazení!B37</f>
        <v>B2</v>
      </c>
      <c r="B7" s="11" t="str">
        <f ca="1">Nasazení!C37</f>
        <v>35 SKP Kulová osma - Slapnička Václav</v>
      </c>
      <c r="C7" t="str">
        <f t="shared" ca="1" si="0"/>
        <v xml:space="preserve"> </v>
      </c>
    </row>
    <row r="8" spans="1:43">
      <c r="A8" s="2" t="str">
        <f ca="1">Nasazení!B40</f>
        <v>B3</v>
      </c>
      <c r="B8" s="11" t="str">
        <f ca="1">Nasazení!C40</f>
        <v>38 Sokol Kostomlaty - Hercoková Milena</v>
      </c>
      <c r="C8" t="str">
        <f t="shared" ca="1" si="0"/>
        <v xml:space="preserve"> </v>
      </c>
    </row>
    <row r="9" spans="1:43">
      <c r="A9" s="2" t="str">
        <f ca="1">Nasazení!B5</f>
        <v>C1</v>
      </c>
      <c r="B9" s="11" t="str">
        <f ca="1">Nasazení!C5</f>
        <v>3 PC Sokol Lipník - Fafek Petr</v>
      </c>
      <c r="C9" t="str">
        <f t="shared" ca="1" si="0"/>
        <v xml:space="preserve"> </v>
      </c>
    </row>
    <row r="10" spans="1:43">
      <c r="A10" s="2" t="str">
        <f ca="1">Nasazení!B36</f>
        <v>C2</v>
      </c>
      <c r="B10" s="11" t="str">
        <f ca="1">Nasazení!C36</f>
        <v>34 PK Osika Plzeň - Špitálský Milan</v>
      </c>
      <c r="C10" t="str">
        <f t="shared" ca="1" si="0"/>
        <v xml:space="preserve"> </v>
      </c>
    </row>
    <row r="11" spans="1:43">
      <c r="A11" s="2" t="str">
        <f ca="1">Nasazení!B41</f>
        <v>C3</v>
      </c>
      <c r="B11" s="11" t="str">
        <f ca="1">Nasazení!C41</f>
        <v>39 SK Sahara Vědomice - Hocková Kateřina</v>
      </c>
      <c r="C11" t="str">
        <f t="shared" ca="1" si="0"/>
        <v xml:space="preserve"> </v>
      </c>
    </row>
    <row r="12" spans="1:43">
      <c r="A12" s="2" t="str">
        <f ca="1">Nasazení!B6</f>
        <v>D1</v>
      </c>
      <c r="B12" s="11" t="str">
        <f ca="1">Nasazení!C6</f>
        <v>4 PC Kolová - Kauca Jindřich</v>
      </c>
      <c r="C12" t="str">
        <f t="shared" ca="1" si="0"/>
        <v xml:space="preserve"> </v>
      </c>
    </row>
    <row r="13" spans="1:43">
      <c r="A13" s="2" t="str">
        <f ca="1">Nasazení!B35</f>
        <v>D2</v>
      </c>
      <c r="B13" s="11" t="str">
        <f ca="1">Nasazení!C35</f>
        <v>33 PEK Stolín - Hájková Iveta</v>
      </c>
      <c r="C13" t="str">
        <f t="shared" ca="1" si="0"/>
        <v xml:space="preserve"> </v>
      </c>
    </row>
    <row r="14" spans="1:43">
      <c r="A14" s="2" t="str">
        <f ca="1">Nasazení!B42</f>
        <v>D3</v>
      </c>
      <c r="B14" s="11" t="str">
        <f ca="1">Nasazení!C42</f>
        <v>40 Club Rodamiento - Pinkasová Marie</v>
      </c>
      <c r="C14" t="str">
        <f t="shared" ca="1" si="0"/>
        <v xml:space="preserve"> </v>
      </c>
    </row>
    <row r="15" spans="1:43">
      <c r="A15" s="2" t="str">
        <f ca="1">Nasazení!B7</f>
        <v>E1</v>
      </c>
      <c r="B15" s="11" t="str">
        <f ca="1">Nasazení!C7</f>
        <v>5 CdP Loděnice - Marhoul Jan</v>
      </c>
      <c r="C15" t="str">
        <f t="shared" ca="1" si="0"/>
        <v xml:space="preserve"> </v>
      </c>
    </row>
    <row r="16" spans="1:43">
      <c r="A16" s="2" t="str">
        <f ca="1">Nasazení!B34</f>
        <v>E2</v>
      </c>
      <c r="B16" s="11" t="str">
        <f ca="1">Nasazení!C34</f>
        <v>32 PK Osika Plzeň - Radoušová Jana</v>
      </c>
      <c r="C16" t="str">
        <f t="shared" ca="1" si="0"/>
        <v xml:space="preserve"> </v>
      </c>
    </row>
    <row r="17" spans="1:3">
      <c r="A17" s="2" t="str">
        <f ca="1">Nasazení!B43</f>
        <v>E3</v>
      </c>
      <c r="B17" s="11" t="str">
        <f ca="1">Nasazení!C43</f>
        <v>41 C.T.P. Club Ořech - Leiský Leander</v>
      </c>
      <c r="C17" t="str">
        <f t="shared" ca="1" si="0"/>
        <v xml:space="preserve"> </v>
      </c>
    </row>
    <row r="18" spans="1:3">
      <c r="A18" s="2" t="str">
        <f ca="1">Nasazení!B8</f>
        <v>F1</v>
      </c>
      <c r="B18" s="11" t="str">
        <f ca="1">Nasazení!C8</f>
        <v>6 PC Sokol Lipník - Froňková Blanka</v>
      </c>
      <c r="C18" t="str">
        <f t="shared" ca="1" si="0"/>
        <v xml:space="preserve"> </v>
      </c>
    </row>
    <row r="19" spans="1:3">
      <c r="A19" s="2" t="str">
        <f ca="1">Nasazení!B33</f>
        <v>F2</v>
      </c>
      <c r="B19" s="11" t="str">
        <f ca="1">Nasazení!C33</f>
        <v>31 SKP Kulová osma - Lhoták Jaroslav</v>
      </c>
      <c r="C19" t="str">
        <f t="shared" ca="1" si="0"/>
        <v xml:space="preserve"> </v>
      </c>
    </row>
    <row r="20" spans="1:3">
      <c r="A20" s="2" t="str">
        <f ca="1">Nasazení!B44</f>
        <v>F3</v>
      </c>
      <c r="B20" s="11" t="str">
        <f ca="1">Nasazení!C44</f>
        <v>42 SK Španielka Řepy - Pastorek Jaroslav</v>
      </c>
      <c r="C20" t="str">
        <f t="shared" ca="1" si="0"/>
        <v xml:space="preserve"> </v>
      </c>
    </row>
    <row r="21" spans="1:3">
      <c r="A21" s="2" t="str">
        <f ca="1">Nasazení!B9</f>
        <v>G1</v>
      </c>
      <c r="B21" s="11" t="str">
        <f ca="1">Nasazení!C9</f>
        <v>7 CdP Loděnice - Mrázek Petr</v>
      </c>
      <c r="C21" t="str">
        <f t="shared" ca="1" si="0"/>
        <v xml:space="preserve"> </v>
      </c>
    </row>
    <row r="22" spans="1:3">
      <c r="A22" s="2" t="str">
        <f ca="1">Nasazení!B32</f>
        <v>G2</v>
      </c>
      <c r="B22" s="11" t="str">
        <f ca="1">Nasazení!C32</f>
        <v>30 SK Španielka Řepy - Holoubek Pavel</v>
      </c>
      <c r="C22" t="str">
        <f t="shared" ca="1" si="0"/>
        <v xml:space="preserve"> </v>
      </c>
    </row>
    <row r="23" spans="1:3">
      <c r="A23" s="2" t="str">
        <f ca="1">Nasazení!B45</f>
        <v>G3</v>
      </c>
      <c r="B23" s="11" t="str">
        <f ca="1">Nasazení!C45</f>
        <v>43 SK Španielka Řepy - Řezník Alois</v>
      </c>
      <c r="C23" t="str">
        <f t="shared" ca="1" si="0"/>
        <v xml:space="preserve"> </v>
      </c>
    </row>
    <row r="24" spans="1:3">
      <c r="A24" s="2" t="str">
        <f ca="1">Nasazení!B10</f>
        <v>H1</v>
      </c>
      <c r="B24" s="11" t="str">
        <f ca="1">Nasazení!C10</f>
        <v>8 PLUK Jablonec - Lukáš Vojtěch</v>
      </c>
      <c r="C24" t="str">
        <f t="shared" ca="1" si="0"/>
        <v xml:space="preserve"> </v>
      </c>
    </row>
    <row r="25" spans="1:3">
      <c r="A25" s="2" t="str">
        <f ca="1">Nasazení!B31</f>
        <v>H2</v>
      </c>
      <c r="B25" s="11" t="str">
        <f ca="1">Nasazení!C31</f>
        <v>29 SK Sahara Vědomice - Gröschl Zdeněk</v>
      </c>
      <c r="C25" t="str">
        <f t="shared" ca="1" si="0"/>
        <v xml:space="preserve"> </v>
      </c>
    </row>
    <row r="26" spans="1:3">
      <c r="A26" s="2" t="str">
        <f ca="1">Nasazení!B46</f>
        <v>H3</v>
      </c>
      <c r="B26" s="11" t="str">
        <f ca="1">Nasazení!C46</f>
        <v>44 Spolek Park Grébovka - Nepomucký Jaroslav</v>
      </c>
      <c r="C26" t="str">
        <f t="shared" ca="1" si="0"/>
        <v xml:space="preserve"> </v>
      </c>
    </row>
    <row r="27" spans="1:3">
      <c r="A27" s="2" t="str">
        <f ca="1">Nasazení!B11</f>
        <v>I1</v>
      </c>
      <c r="B27" s="11" t="str">
        <f ca="1">Nasazení!C11</f>
        <v>9 SK Sahara Vědomice - Mikyška Milan</v>
      </c>
      <c r="C27" t="str">
        <f t="shared" ca="1" si="0"/>
        <v xml:space="preserve"> </v>
      </c>
    </row>
    <row r="28" spans="1:3">
      <c r="A28" s="2" t="str">
        <f ca="1">Nasazení!B30</f>
        <v>I2</v>
      </c>
      <c r="B28" s="11" t="str">
        <f ca="1">Nasazení!C30</f>
        <v>28 UBU Únětice - Kot Pavel</v>
      </c>
      <c r="C28" t="str">
        <f t="shared" ca="1" si="0"/>
        <v xml:space="preserve"> </v>
      </c>
    </row>
    <row r="29" spans="1:3">
      <c r="A29" s="2" t="str">
        <f ca="1">Nasazení!B47</f>
        <v>I3</v>
      </c>
      <c r="B29" s="11" t="str">
        <f ca="1">Nasazení!C47</f>
        <v>45 Spolek Park Grébovka - Kremlík Miroslav</v>
      </c>
      <c r="C29" t="str">
        <f t="shared" ca="1" si="0"/>
        <v xml:space="preserve"> </v>
      </c>
    </row>
    <row r="30" spans="1:3">
      <c r="A30" s="2" t="str">
        <f ca="1">Nasazení!B12</f>
        <v>J1</v>
      </c>
      <c r="B30" s="11" t="str">
        <f ca="1">Nasazení!C12</f>
        <v>10 SKP Kulová osma - Krejčín Leoš</v>
      </c>
      <c r="C30" t="str">
        <f t="shared" ca="1" si="0"/>
        <v xml:space="preserve"> </v>
      </c>
    </row>
    <row r="31" spans="1:3">
      <c r="A31" s="2" t="str">
        <f ca="1">Nasazení!B29</f>
        <v>J2</v>
      </c>
      <c r="B31" s="11" t="str">
        <f ca="1">Nasazení!C29</f>
        <v>27 PK Osika Plzeň - Mráz Václav</v>
      </c>
      <c r="C31" t="str">
        <f t="shared" ca="1" si="0"/>
        <v xml:space="preserve"> </v>
      </c>
    </row>
    <row r="32" spans="1:3">
      <c r="A32" s="2" t="str">
        <f ca="1">Nasazení!B48</f>
        <v>J3</v>
      </c>
      <c r="B32" s="11" t="str">
        <f ca="1">Nasazení!C48</f>
        <v>46 CdP Loděnice - Zderadička Jiří</v>
      </c>
      <c r="C32" t="str">
        <f t="shared" ca="1" si="0"/>
        <v xml:space="preserve"> </v>
      </c>
    </row>
    <row r="33" spans="1:3">
      <c r="A33" s="2" t="str">
        <f ca="1">Nasazení!B65</f>
        <v>J4</v>
      </c>
      <c r="B33" s="11" t="str">
        <f ca="1">Nasazení!C65</f>
        <v>63 SK Španielka Řepy - Novotná Marie</v>
      </c>
      <c r="C33" t="str">
        <f t="shared" ca="1" si="0"/>
        <v xml:space="preserve"> </v>
      </c>
    </row>
    <row r="34" spans="1:3">
      <c r="A34" s="2" t="str">
        <f ca="1">Nasazení!B13</f>
        <v>K1</v>
      </c>
      <c r="B34" s="11" t="str">
        <f ca="1">Nasazení!C13</f>
        <v>11 Sokol Kostomlaty - Škorničková Jaroslava</v>
      </c>
      <c r="C34" t="str">
        <f t="shared" ca="1" si="0"/>
        <v xml:space="preserve"> </v>
      </c>
    </row>
    <row r="35" spans="1:3">
      <c r="A35" s="2" t="str">
        <f ca="1">Nasazení!B28</f>
        <v>K2</v>
      </c>
      <c r="B35" s="11" t="str">
        <f ca="1">Nasazení!C28</f>
        <v>26 CdP Loděnice - Nagy Radim</v>
      </c>
      <c r="C35" t="str">
        <f t="shared" ref="C35:C66" ca="1" si="1">IF(T(A35)="","X"," ")</f>
        <v xml:space="preserve"> </v>
      </c>
    </row>
    <row r="36" spans="1:3">
      <c r="A36" s="2" t="str">
        <f ca="1">Nasazení!B49</f>
        <v>K3</v>
      </c>
      <c r="B36" s="11" t="str">
        <f ca="1">Nasazení!C49</f>
        <v>47 CdP Loděnice - Paták Jan</v>
      </c>
      <c r="C36" t="str">
        <f t="shared" ca="1" si="1"/>
        <v xml:space="preserve"> </v>
      </c>
    </row>
    <row r="37" spans="1:3">
      <c r="A37" s="2" t="str">
        <f ca="1">Nasazení!B64</f>
        <v>K4</v>
      </c>
      <c r="B37" s="11" t="str">
        <f ca="1">Nasazení!C64</f>
        <v>62 CdP Loděnice - Pospíšilová Šárka</v>
      </c>
      <c r="C37" t="str">
        <f t="shared" ca="1" si="1"/>
        <v xml:space="preserve"> </v>
      </c>
    </row>
    <row r="38" spans="1:3">
      <c r="A38" s="2" t="str">
        <f ca="1">Nasazení!B14</f>
        <v>L1</v>
      </c>
      <c r="B38" s="11" t="str">
        <f ca="1">Nasazení!C14</f>
        <v>12 SKP Kulová osma - Chmelař Ivo</v>
      </c>
      <c r="C38" t="str">
        <f t="shared" ca="1" si="1"/>
        <v xml:space="preserve"> </v>
      </c>
    </row>
    <row r="39" spans="1:3">
      <c r="A39" s="2" t="str">
        <f ca="1">Nasazení!B27</f>
        <v>L2</v>
      </c>
      <c r="B39" s="11" t="str">
        <f ca="1">Nasazení!C27</f>
        <v>25 PC Sokol Lipník - Mazúr Pavel</v>
      </c>
      <c r="C39" t="str">
        <f t="shared" ca="1" si="1"/>
        <v xml:space="preserve"> </v>
      </c>
    </row>
    <row r="40" spans="1:3">
      <c r="A40" s="2" t="str">
        <f ca="1">Nasazení!B50</f>
        <v>L3</v>
      </c>
      <c r="B40" s="11" t="str">
        <f ca="1">Nasazení!C50</f>
        <v>48 PCP Lipník - Reinbergrová Václava</v>
      </c>
      <c r="C40" t="str">
        <f t="shared" ca="1" si="1"/>
        <v xml:space="preserve"> </v>
      </c>
    </row>
    <row r="41" spans="1:3">
      <c r="A41" s="2" t="str">
        <f ca="1">Nasazení!B63</f>
        <v>L4</v>
      </c>
      <c r="B41" s="11" t="str">
        <f ca="1">Nasazení!C63</f>
        <v>61 SK Španielka Řepy - Prajer Milan</v>
      </c>
      <c r="C41" t="str">
        <f t="shared" ca="1" si="1"/>
        <v xml:space="preserve"> </v>
      </c>
    </row>
    <row r="42" spans="1:3">
      <c r="A42" s="2" t="str">
        <f ca="1">Nasazení!B15</f>
        <v>M1</v>
      </c>
      <c r="B42" s="11" t="str">
        <f ca="1">Nasazení!C15</f>
        <v>13 PC Kolová - Plucar Petr</v>
      </c>
      <c r="C42" t="str">
        <f t="shared" ca="1" si="1"/>
        <v xml:space="preserve"> </v>
      </c>
    </row>
    <row r="43" spans="1:3">
      <c r="A43" s="2" t="str">
        <f ca="1">Nasazení!B26</f>
        <v>M2</v>
      </c>
      <c r="B43" s="11" t="str">
        <f ca="1">Nasazení!C26</f>
        <v>24 PK Osika Plzeň - Jirkovský Tomáš</v>
      </c>
      <c r="C43" t="str">
        <f t="shared" ca="1" si="1"/>
        <v xml:space="preserve"> </v>
      </c>
    </row>
    <row r="44" spans="1:3">
      <c r="A44" s="2" t="str">
        <f ca="1">Nasazení!B51</f>
        <v>M3</v>
      </c>
      <c r="B44" s="11" t="str">
        <f ca="1">Nasazení!C51</f>
        <v>49 PEK Stolín - Hájková Dorota</v>
      </c>
      <c r="C44" t="str">
        <f t="shared" ca="1" si="1"/>
        <v xml:space="preserve"> </v>
      </c>
    </row>
    <row r="45" spans="1:3">
      <c r="A45" s="2" t="str">
        <f ca="1">Nasazení!B62</f>
        <v>M4</v>
      </c>
      <c r="B45" s="11" t="str">
        <f ca="1">Nasazení!C62</f>
        <v>60 PK Osika Plzeň - Přibyl Miroslav</v>
      </c>
      <c r="C45" t="str">
        <f t="shared" ca="1" si="1"/>
        <v xml:space="preserve"> </v>
      </c>
    </row>
    <row r="46" spans="1:3">
      <c r="A46" s="2" t="str">
        <f ca="1">Nasazení!B16</f>
        <v>N1</v>
      </c>
      <c r="B46" s="11" t="str">
        <f ca="1">Nasazení!C16</f>
        <v>14 Petank Club Praha - Vorel Jan</v>
      </c>
      <c r="C46" t="str">
        <f t="shared" ca="1" si="1"/>
        <v xml:space="preserve"> </v>
      </c>
    </row>
    <row r="47" spans="1:3">
      <c r="A47" s="2" t="str">
        <f ca="1">Nasazení!B25</f>
        <v>N2</v>
      </c>
      <c r="B47" s="11" t="str">
        <f ca="1">Nasazení!C25</f>
        <v>23 Club Rodamiento - Sjögren Magda</v>
      </c>
      <c r="C47" t="str">
        <f t="shared" ca="1" si="1"/>
        <v xml:space="preserve"> </v>
      </c>
    </row>
    <row r="48" spans="1:3">
      <c r="A48" s="2" t="str">
        <f ca="1">Nasazení!B52</f>
        <v>N3</v>
      </c>
      <c r="B48" s="11" t="str">
        <f ca="1">Nasazení!C52</f>
        <v>50 C.T.P. Club Ořech - Glaser Vladimír</v>
      </c>
      <c r="C48" t="str">
        <f t="shared" ca="1" si="1"/>
        <v xml:space="preserve"> </v>
      </c>
    </row>
    <row r="49" spans="1:3">
      <c r="A49" s="2" t="str">
        <f ca="1">Nasazení!B61</f>
        <v>N4</v>
      </c>
      <c r="B49" s="11" t="str">
        <f ca="1">Nasazení!C61</f>
        <v>59 CP VARY - Fürst Jiří</v>
      </c>
      <c r="C49" t="str">
        <f t="shared" ca="1" si="1"/>
        <v xml:space="preserve"> </v>
      </c>
    </row>
    <row r="50" spans="1:3">
      <c r="A50" s="2" t="str">
        <f ca="1">Nasazení!B17</f>
        <v>O1</v>
      </c>
      <c r="B50" s="11" t="str">
        <f ca="1">Nasazení!C17</f>
        <v>15 Sokol Kostomlaty - Vyoral Hynek</v>
      </c>
      <c r="C50" t="str">
        <f t="shared" ca="1" si="1"/>
        <v xml:space="preserve"> </v>
      </c>
    </row>
    <row r="51" spans="1:3">
      <c r="A51" s="2" t="str">
        <f ca="1">Nasazení!B24</f>
        <v>O2</v>
      </c>
      <c r="B51" s="11" t="str">
        <f ca="1">Nasazení!C24</f>
        <v>22 SKP Kulová osma - Zátka Miloslav</v>
      </c>
      <c r="C51" t="str">
        <f t="shared" ca="1" si="1"/>
        <v xml:space="preserve"> </v>
      </c>
    </row>
    <row r="52" spans="1:3">
      <c r="A52" s="2" t="str">
        <f ca="1">Nasazení!B53</f>
        <v>O3</v>
      </c>
      <c r="B52" s="11" t="str">
        <f ca="1">Nasazení!C53</f>
        <v>51 SKP Kulová osma - Fára Jindřich</v>
      </c>
      <c r="C52" t="str">
        <f t="shared" ca="1" si="1"/>
        <v xml:space="preserve"> </v>
      </c>
    </row>
    <row r="53" spans="1:3">
      <c r="A53" s="2" t="str">
        <f ca="1">Nasazení!B60</f>
        <v>O4</v>
      </c>
      <c r="B53" s="11" t="str">
        <f ca="1">Nasazení!C60</f>
        <v>58 SKP Kulová osma - Pavýza Milan</v>
      </c>
      <c r="C53" t="str">
        <f t="shared" ca="1" si="1"/>
        <v xml:space="preserve"> </v>
      </c>
    </row>
    <row r="54" spans="1:3">
      <c r="A54" s="2" t="str">
        <f ca="1">Nasazení!B18</f>
        <v>P1</v>
      </c>
      <c r="B54" s="11" t="str">
        <f ca="1">Nasazení!C18</f>
        <v>16 1. KPK Vrchlabí - Mašek Pavel</v>
      </c>
      <c r="C54" t="str">
        <f t="shared" ca="1" si="1"/>
        <v xml:space="preserve"> </v>
      </c>
    </row>
    <row r="55" spans="1:3">
      <c r="A55" s="2" t="str">
        <f ca="1">Nasazení!B23</f>
        <v>P2</v>
      </c>
      <c r="B55" s="11" t="str">
        <f ca="1">Nasazení!C23</f>
        <v>21 Sokol Kostomlaty - Vaníček Rudolf</v>
      </c>
      <c r="C55" t="str">
        <f t="shared" ca="1" si="1"/>
        <v xml:space="preserve"> </v>
      </c>
    </row>
    <row r="56" spans="1:3">
      <c r="A56" s="2" t="str">
        <f ca="1">Nasazení!B54</f>
        <v>P3</v>
      </c>
      <c r="B56" s="11" t="str">
        <f ca="1">Nasazení!C54</f>
        <v>52 CdP Loděnice - Janoš Jiří</v>
      </c>
      <c r="C56" t="str">
        <f t="shared" ca="1" si="1"/>
        <v xml:space="preserve"> </v>
      </c>
    </row>
    <row r="57" spans="1:3">
      <c r="A57" s="2" t="str">
        <f ca="1">Nasazení!B59</f>
        <v>P4</v>
      </c>
      <c r="B57" s="11" t="str">
        <f ca="1">Nasazení!C59</f>
        <v>57 Orel Řečkovice - Leistnerová Lucie</v>
      </c>
      <c r="C57" t="str">
        <f t="shared" ca="1" si="1"/>
        <v xml:space="preserve"> </v>
      </c>
    </row>
    <row r="58" spans="1:3">
      <c r="A58" s="2" t="str">
        <f ca="1">Nasazení!B19</f>
        <v>Q1</v>
      </c>
      <c r="B58" s="11" t="str">
        <f ca="1">Nasazení!C19</f>
        <v>17 PC Sokol Lipník - Gorroňo López Blanka</v>
      </c>
      <c r="C58" t="str">
        <f t="shared" ca="1" si="1"/>
        <v xml:space="preserve"> </v>
      </c>
    </row>
    <row r="59" spans="1:3">
      <c r="A59" s="2" t="str">
        <f ca="1">Nasazení!B22</f>
        <v>Q2</v>
      </c>
      <c r="B59" s="11" t="str">
        <f ca="1">Nasazení!C22</f>
        <v>20 Club Rodamiento - Dlouhá Ivana</v>
      </c>
      <c r="C59" t="str">
        <f t="shared" ca="1" si="1"/>
        <v xml:space="preserve"> </v>
      </c>
    </row>
    <row r="60" spans="1:3">
      <c r="A60" s="2" t="str">
        <f ca="1">Nasazení!B55</f>
        <v>Q3</v>
      </c>
      <c r="B60" s="11" t="str">
        <f ca="1">Nasazení!C55</f>
        <v>53 CP VARY - Šimek Petr</v>
      </c>
      <c r="C60" t="str">
        <f t="shared" ca="1" si="1"/>
        <v xml:space="preserve"> </v>
      </c>
    </row>
    <row r="61" spans="1:3">
      <c r="A61" s="2" t="str">
        <f ca="1">Nasazení!B58</f>
        <v>Q4</v>
      </c>
      <c r="B61" s="11" t="str">
        <f ca="1">Nasazení!C58</f>
        <v>56 SK Španielka Řepy - Szitányiová Mária</v>
      </c>
      <c r="C61" t="str">
        <f t="shared" ca="1" si="1"/>
        <v xml:space="preserve"> </v>
      </c>
    </row>
    <row r="62" spans="1:3">
      <c r="A62" s="2" t="str">
        <f ca="1">Nasazení!B20</f>
        <v>R1</v>
      </c>
      <c r="B62" s="11" t="str">
        <f ca="1">Nasazení!C20</f>
        <v>18 PCP Lipník - Proroková Dana</v>
      </c>
      <c r="C62" t="str">
        <f t="shared" ca="1" si="1"/>
        <v xml:space="preserve"> </v>
      </c>
    </row>
    <row r="63" spans="1:3">
      <c r="A63" s="2" t="str">
        <f ca="1">Nasazení!B21</f>
        <v>R2</v>
      </c>
      <c r="B63" s="11" t="str">
        <f ca="1">Nasazení!C21</f>
        <v>19 PC Sokol Lipník - Chalupa Jiří</v>
      </c>
      <c r="C63" t="str">
        <f t="shared" ca="1" si="1"/>
        <v xml:space="preserve"> </v>
      </c>
    </row>
    <row r="64" spans="1:3">
      <c r="A64" s="2" t="str">
        <f ca="1">Nasazení!B56</f>
        <v>R3</v>
      </c>
      <c r="B64" s="11" t="str">
        <f ca="1">Nasazení!C56</f>
        <v>54 PCP Lipník - Doubrava Antonín</v>
      </c>
      <c r="C64" t="str">
        <f t="shared" ca="1" si="1"/>
        <v xml:space="preserve"> </v>
      </c>
    </row>
    <row r="65" spans="1:3">
      <c r="A65" s="2" t="str">
        <f ca="1">Nasazení!B57</f>
        <v>R4</v>
      </c>
      <c r="B65" s="11" t="str">
        <f ca="1">Nasazení!C57</f>
        <v>55 PCP Lipník - Moucha Luboš</v>
      </c>
      <c r="C65" t="str">
        <f t="shared" ca="1" si="1"/>
        <v xml:space="preserve"> </v>
      </c>
    </row>
    <row r="66" spans="1:3">
      <c r="A66" s="2" t="str">
        <f ca="1">Nasazení!B87</f>
        <v/>
      </c>
      <c r="B66" s="11" t="str">
        <f ca="1">Nasazení!C87</f>
        <v/>
      </c>
      <c r="C66" t="str">
        <f t="shared" ca="1" si="1"/>
        <v>X</v>
      </c>
    </row>
    <row r="67" spans="1:3">
      <c r="A67" s="2" t="str">
        <f ca="1">Nasazení!B86</f>
        <v/>
      </c>
      <c r="B67" s="11" t="str">
        <f ca="1">Nasazení!C86</f>
        <v/>
      </c>
      <c r="C67" t="str">
        <f t="shared" ref="C67:C98" ca="1" si="2">IF(T(A67)="","X"," ")</f>
        <v>X</v>
      </c>
    </row>
    <row r="68" spans="1:3">
      <c r="A68" s="2" t="str">
        <f ca="1">Nasazení!B85</f>
        <v/>
      </c>
      <c r="B68" s="11" t="str">
        <f ca="1">Nasazení!C85</f>
        <v/>
      </c>
      <c r="C68" t="str">
        <f t="shared" ca="1" si="2"/>
        <v>X</v>
      </c>
    </row>
    <row r="69" spans="1:3">
      <c r="A69" s="2" t="str">
        <f ca="1">Nasazení!B84</f>
        <v/>
      </c>
      <c r="B69" s="11" t="str">
        <f ca="1">Nasazení!C84</f>
        <v/>
      </c>
      <c r="C69" t="str">
        <f t="shared" ca="1" si="2"/>
        <v>X</v>
      </c>
    </row>
    <row r="70" spans="1:3">
      <c r="A70" s="2" t="str">
        <f ca="1">Nasazení!B83</f>
        <v/>
      </c>
      <c r="B70" s="11" t="str">
        <f ca="1">Nasazení!C83</f>
        <v/>
      </c>
      <c r="C70" t="str">
        <f t="shared" ca="1" si="2"/>
        <v>X</v>
      </c>
    </row>
    <row r="71" spans="1:3">
      <c r="A71" s="2" t="str">
        <f ca="1">Nasazení!B82</f>
        <v/>
      </c>
      <c r="B71" s="11" t="str">
        <f ca="1">Nasazení!C82</f>
        <v/>
      </c>
      <c r="C71" t="str">
        <f t="shared" ca="1" si="2"/>
        <v>X</v>
      </c>
    </row>
    <row r="72" spans="1:3">
      <c r="A72" s="2" t="str">
        <f ca="1">Nasazení!B81</f>
        <v/>
      </c>
      <c r="B72" s="11" t="str">
        <f ca="1">Nasazení!C81</f>
        <v/>
      </c>
      <c r="C72" t="str">
        <f t="shared" ca="1" si="2"/>
        <v>X</v>
      </c>
    </row>
    <row r="73" spans="1:3">
      <c r="A73" s="2" t="str">
        <f ca="1">Nasazení!B80</f>
        <v/>
      </c>
      <c r="B73" s="11" t="str">
        <f ca="1">Nasazení!C80</f>
        <v/>
      </c>
      <c r="C73" t="str">
        <f t="shared" ca="1" si="2"/>
        <v>X</v>
      </c>
    </row>
    <row r="74" spans="1:3">
      <c r="A74" s="2" t="str">
        <f ca="1">Nasazení!B79</f>
        <v/>
      </c>
      <c r="B74" s="11" t="str">
        <f ca="1">Nasazení!C79</f>
        <v/>
      </c>
      <c r="C74" t="str">
        <f t="shared" ca="1" si="2"/>
        <v>X</v>
      </c>
    </row>
    <row r="75" spans="1:3">
      <c r="A75" s="2" t="str">
        <f ca="1">Nasazení!B78</f>
        <v/>
      </c>
      <c r="B75" s="11" t="str">
        <f ca="1">Nasazení!C78</f>
        <v/>
      </c>
      <c r="C75" t="str">
        <f t="shared" ca="1" si="2"/>
        <v>X</v>
      </c>
    </row>
    <row r="76" spans="1:3">
      <c r="A76" s="2" t="str">
        <f ca="1">Nasazení!B77</f>
        <v/>
      </c>
      <c r="B76" s="11" t="str">
        <f ca="1">Nasazení!C77</f>
        <v/>
      </c>
      <c r="C76" t="str">
        <f t="shared" ca="1" si="2"/>
        <v>X</v>
      </c>
    </row>
    <row r="77" spans="1:3">
      <c r="A77" s="2" t="str">
        <f ca="1">Nasazení!B76</f>
        <v/>
      </c>
      <c r="B77" s="11" t="str">
        <f ca="1">Nasazení!C76</f>
        <v/>
      </c>
      <c r="C77" t="str">
        <f t="shared" ca="1" si="2"/>
        <v>X</v>
      </c>
    </row>
    <row r="78" spans="1:3">
      <c r="A78" s="2" t="str">
        <f ca="1">Nasazení!B75</f>
        <v/>
      </c>
      <c r="B78" s="11" t="str">
        <f ca="1">Nasazení!C75</f>
        <v/>
      </c>
      <c r="C78" t="str">
        <f t="shared" ca="1" si="2"/>
        <v>X</v>
      </c>
    </row>
    <row r="79" spans="1:3">
      <c r="A79" s="2" t="str">
        <f ca="1">Nasazení!B74</f>
        <v/>
      </c>
      <c r="B79" s="11" t="str">
        <f ca="1">Nasazení!C74</f>
        <v/>
      </c>
      <c r="C79" t="str">
        <f t="shared" ca="1" si="2"/>
        <v>X</v>
      </c>
    </row>
    <row r="80" spans="1:3">
      <c r="A80" s="2" t="str">
        <f ca="1">Nasazení!B73</f>
        <v/>
      </c>
      <c r="B80" s="11" t="str">
        <f ca="1">Nasazení!C73</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2017-04-15T18:11:32Z</cp:lastPrinted>
  <dcterms:created xsi:type="dcterms:W3CDTF">1998-08-08T11:38:32Z</dcterms:created>
  <dcterms:modified xsi:type="dcterms:W3CDTF">2017-04-18T04:58:43Z</dcterms:modified>
  <cp:category>PETANQUE</cp:category>
</cp:coreProperties>
</file>